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11377\Downloads\"/>
    </mc:Choice>
  </mc:AlternateContent>
  <xr:revisionPtr revIDLastSave="0" documentId="13_ncr:1_{C7039AE0-5754-4799-B9EA-8667AD68CE14}" xr6:coauthVersionLast="36" xr6:coauthVersionMax="36" xr10:uidLastSave="{00000000-0000-0000-0000-000000000000}"/>
  <bookViews>
    <workbookView xWindow="0" yWindow="0" windowWidth="28800" windowHeight="11805" activeTab="1" xr2:uid="{00000000-000D-0000-FFFF-FFFF00000000}"/>
  </bookViews>
  <sheets>
    <sheet name="Instituíção" sheetId="1" r:id="rId1"/>
    <sheet name="Ciclos de Matrículas" sheetId="2" r:id="rId2"/>
  </sheets>
  <definedNames>
    <definedName name="_xlnm._FilterDatabase" localSheetId="1" hidden="1">'Ciclos de Matrículas'!$A$3:$P$1341</definedName>
    <definedName name="_xlnm._FilterDatabase" localSheetId="0" hidden="1">Instituíção!$C$5:$D$5</definedName>
  </definedNames>
  <calcPr calcId="191029" iterateDelta="1E-4"/>
</workbook>
</file>

<file path=xl/calcChain.xml><?xml version="1.0" encoding="utf-8"?>
<calcChain xmlns="http://schemas.openxmlformats.org/spreadsheetml/2006/main">
  <c r="AP1341" i="2" l="1"/>
  <c r="AN1341" i="2"/>
  <c r="AC1341" i="2"/>
  <c r="AB1341" i="2"/>
  <c r="AG1341" i="2" s="1"/>
  <c r="S1341" i="2"/>
  <c r="O1341" i="2"/>
  <c r="V1341" i="2" s="1"/>
  <c r="N1341" i="2"/>
  <c r="AI1341" i="2" s="1"/>
  <c r="AP1340" i="2"/>
  <c r="AN1340" i="2"/>
  <c r="AH1340" i="2"/>
  <c r="AC1340" i="2"/>
  <c r="AB1340" i="2"/>
  <c r="S1340" i="2"/>
  <c r="O1340" i="2"/>
  <c r="V1340" i="2" s="1"/>
  <c r="N1340" i="2"/>
  <c r="AG1340" i="2" s="1"/>
  <c r="AP1339" i="2"/>
  <c r="AN1339" i="2"/>
  <c r="AG1339" i="2"/>
  <c r="AC1339" i="2"/>
  <c r="AB1339" i="2"/>
  <c r="AE1339" i="2" s="1"/>
  <c r="V1339" i="2"/>
  <c r="S1339" i="2"/>
  <c r="O1339" i="2"/>
  <c r="P1339" i="2" s="1"/>
  <c r="U1339" i="2" s="1"/>
  <c r="N1339" i="2"/>
  <c r="AI1339" i="2" s="1"/>
  <c r="AP1338" i="2"/>
  <c r="AN1338" i="2"/>
  <c r="AI1338" i="2"/>
  <c r="AH1338" i="2"/>
  <c r="AG1338" i="2"/>
  <c r="AF1338" i="2"/>
  <c r="AE1338" i="2"/>
  <c r="AC1338" i="2"/>
  <c r="AB1338" i="2"/>
  <c r="S1338" i="2"/>
  <c r="O1338" i="2"/>
  <c r="V1338" i="2" s="1"/>
  <c r="N1338" i="2"/>
  <c r="AP1337" i="2"/>
  <c r="AN1337" i="2"/>
  <c r="AG1337" i="2"/>
  <c r="AE1337" i="2"/>
  <c r="AC1337" i="2"/>
  <c r="AB1337" i="2"/>
  <c r="V1337" i="2"/>
  <c r="S1337" i="2"/>
  <c r="P1337" i="2"/>
  <c r="U1337" i="2" s="1"/>
  <c r="O1337" i="2"/>
  <c r="N1337" i="2"/>
  <c r="AI1337" i="2" s="1"/>
  <c r="AP1336" i="2"/>
  <c r="AN1336" i="2"/>
  <c r="AC1336" i="2"/>
  <c r="AB1336" i="2"/>
  <c r="S1336" i="2"/>
  <c r="P1336" i="2"/>
  <c r="U1336" i="2" s="1"/>
  <c r="O1336" i="2"/>
  <c r="V1336" i="2" s="1"/>
  <c r="N1336" i="2"/>
  <c r="AI1336" i="2" s="1"/>
  <c r="AP1335" i="2"/>
  <c r="AN1335" i="2"/>
  <c r="AC1335" i="2"/>
  <c r="AB1335" i="2"/>
  <c r="S1335" i="2"/>
  <c r="O1335" i="2"/>
  <c r="N1335" i="2"/>
  <c r="AI1335" i="2" s="1"/>
  <c r="AP1334" i="2"/>
  <c r="AN1334" i="2"/>
  <c r="AC1334" i="2"/>
  <c r="AB1334" i="2"/>
  <c r="AG1334" i="2" s="1"/>
  <c r="S1334" i="2"/>
  <c r="P1334" i="2"/>
  <c r="U1334" i="2" s="1"/>
  <c r="O1334" i="2"/>
  <c r="V1334" i="2" s="1"/>
  <c r="N1334" i="2"/>
  <c r="AI1334" i="2" s="1"/>
  <c r="AP1333" i="2"/>
  <c r="AN1333" i="2"/>
  <c r="AI1333" i="2"/>
  <c r="AC1333" i="2"/>
  <c r="AB1333" i="2"/>
  <c r="S1333" i="2"/>
  <c r="O1333" i="2"/>
  <c r="V1333" i="2" s="1"/>
  <c r="N1333" i="2"/>
  <c r="AH1333" i="2" s="1"/>
  <c r="AP1332" i="2"/>
  <c r="AN1332" i="2"/>
  <c r="AC1332" i="2"/>
  <c r="AB1332" i="2"/>
  <c r="S1332" i="2"/>
  <c r="P1332" i="2"/>
  <c r="O1332" i="2"/>
  <c r="N1332" i="2"/>
  <c r="V1332" i="2" s="1"/>
  <c r="AP1331" i="2"/>
  <c r="AN1331" i="2"/>
  <c r="AH1331" i="2"/>
  <c r="AG1331" i="2"/>
  <c r="AC1331" i="2"/>
  <c r="AB1331" i="2"/>
  <c r="S1331" i="2"/>
  <c r="P1331" i="2"/>
  <c r="U1331" i="2" s="1"/>
  <c r="O1331" i="2"/>
  <c r="N1331" i="2"/>
  <c r="AF1331" i="2" s="1"/>
  <c r="AP1330" i="2"/>
  <c r="AN1330" i="2"/>
  <c r="AC1330" i="2"/>
  <c r="AB1330" i="2"/>
  <c r="AH1330" i="2" s="1"/>
  <c r="V1330" i="2"/>
  <c r="S1330" i="2"/>
  <c r="P1330" i="2"/>
  <c r="U1330" i="2" s="1"/>
  <c r="O1330" i="2"/>
  <c r="N1330" i="2"/>
  <c r="AI1330" i="2" s="1"/>
  <c r="AP1329" i="2"/>
  <c r="AN1329" i="2"/>
  <c r="AH1329" i="2"/>
  <c r="AG1329" i="2"/>
  <c r="AF1329" i="2"/>
  <c r="AE1329" i="2"/>
  <c r="AC1329" i="2"/>
  <c r="AB1329" i="2"/>
  <c r="S1329" i="2"/>
  <c r="P1329" i="2"/>
  <c r="U1329" i="2" s="1"/>
  <c r="O1329" i="2"/>
  <c r="N1329" i="2"/>
  <c r="V1329" i="2" s="1"/>
  <c r="AP1328" i="2"/>
  <c r="AN1328" i="2"/>
  <c r="AC1328" i="2"/>
  <c r="AB1328" i="2"/>
  <c r="V1328" i="2"/>
  <c r="S1328" i="2"/>
  <c r="P1328" i="2"/>
  <c r="U1328" i="2" s="1"/>
  <c r="O1328" i="2"/>
  <c r="N1328" i="2"/>
  <c r="AI1328" i="2" s="1"/>
  <c r="AP1327" i="2"/>
  <c r="AN1327" i="2"/>
  <c r="AC1327" i="2"/>
  <c r="AB1327" i="2"/>
  <c r="S1327" i="2"/>
  <c r="O1327" i="2"/>
  <c r="V1327" i="2" s="1"/>
  <c r="N1327" i="2"/>
  <c r="AI1327" i="2" s="1"/>
  <c r="AP1326" i="2"/>
  <c r="AN1326" i="2"/>
  <c r="AC1326" i="2"/>
  <c r="AB1326" i="2"/>
  <c r="S1326" i="2"/>
  <c r="O1326" i="2"/>
  <c r="V1326" i="2" s="1"/>
  <c r="N1326" i="2"/>
  <c r="AP1325" i="2"/>
  <c r="AN1325" i="2"/>
  <c r="AC1325" i="2"/>
  <c r="AB1325" i="2"/>
  <c r="AI1325" i="2" s="1"/>
  <c r="S1325" i="2"/>
  <c r="P1325" i="2"/>
  <c r="U1325" i="2" s="1"/>
  <c r="O1325" i="2"/>
  <c r="V1325" i="2" s="1"/>
  <c r="N1325" i="2"/>
  <c r="AP1324" i="2"/>
  <c r="AN1324" i="2"/>
  <c r="AI1324" i="2"/>
  <c r="AH1324" i="2"/>
  <c r="AC1324" i="2"/>
  <c r="AB1324" i="2"/>
  <c r="S1324" i="2"/>
  <c r="O1324" i="2"/>
  <c r="V1324" i="2" s="1"/>
  <c r="N1324" i="2"/>
  <c r="AG1324" i="2" s="1"/>
  <c r="AP1323" i="2"/>
  <c r="AN1323" i="2"/>
  <c r="AG1323" i="2"/>
  <c r="AE1323" i="2"/>
  <c r="AC1323" i="2"/>
  <c r="AB1323" i="2"/>
  <c r="V1323" i="2"/>
  <c r="S1323" i="2"/>
  <c r="P1323" i="2"/>
  <c r="U1323" i="2" s="1"/>
  <c r="O1323" i="2"/>
  <c r="N1323" i="2"/>
  <c r="AI1323" i="2" s="1"/>
  <c r="AP1322" i="2"/>
  <c r="AN1322" i="2"/>
  <c r="AI1322" i="2"/>
  <c r="AH1322" i="2"/>
  <c r="AG1322" i="2"/>
  <c r="AF1322" i="2"/>
  <c r="AE1322" i="2"/>
  <c r="AC1322" i="2"/>
  <c r="AB1322" i="2"/>
  <c r="S1322" i="2"/>
  <c r="P1322" i="2"/>
  <c r="U1322" i="2" s="1"/>
  <c r="O1322" i="2"/>
  <c r="V1322" i="2" s="1"/>
  <c r="N1322" i="2"/>
  <c r="AP1321" i="2"/>
  <c r="AN1321" i="2"/>
  <c r="AE1321" i="2"/>
  <c r="AC1321" i="2"/>
  <c r="AB1321" i="2"/>
  <c r="AH1321" i="2" s="1"/>
  <c r="V1321" i="2"/>
  <c r="S1321" i="2"/>
  <c r="W1321" i="2" s="1"/>
  <c r="P1321" i="2"/>
  <c r="U1321" i="2" s="1"/>
  <c r="O1321" i="2"/>
  <c r="N1321" i="2"/>
  <c r="AI1321" i="2" s="1"/>
  <c r="AP1320" i="2"/>
  <c r="AN1320" i="2"/>
  <c r="AC1320" i="2"/>
  <c r="AB1320" i="2"/>
  <c r="S1320" i="2"/>
  <c r="P1320" i="2"/>
  <c r="U1320" i="2" s="1"/>
  <c r="O1320" i="2"/>
  <c r="N1320" i="2"/>
  <c r="V1320" i="2" s="1"/>
  <c r="AP1319" i="2"/>
  <c r="AN1319" i="2"/>
  <c r="AC1319" i="2"/>
  <c r="AB1319" i="2"/>
  <c r="S1319" i="2"/>
  <c r="O1319" i="2"/>
  <c r="N1319" i="2"/>
  <c r="AI1319" i="2" s="1"/>
  <c r="AP1318" i="2"/>
  <c r="AN1318" i="2"/>
  <c r="AC1318" i="2"/>
  <c r="AB1318" i="2"/>
  <c r="AE1318" i="2" s="1"/>
  <c r="S1318" i="2"/>
  <c r="P1318" i="2"/>
  <c r="U1318" i="2" s="1"/>
  <c r="O1318" i="2"/>
  <c r="V1318" i="2" s="1"/>
  <c r="N1318" i="2"/>
  <c r="AI1318" i="2" s="1"/>
  <c r="AP1317" i="2"/>
  <c r="AN1317" i="2"/>
  <c r="AI1317" i="2"/>
  <c r="AC1317" i="2"/>
  <c r="AB1317" i="2"/>
  <c r="S1317" i="2"/>
  <c r="P1317" i="2"/>
  <c r="U1317" i="2" s="1"/>
  <c r="O1317" i="2"/>
  <c r="V1317" i="2" s="1"/>
  <c r="N1317" i="2"/>
  <c r="AH1317" i="2" s="1"/>
  <c r="AP1316" i="2"/>
  <c r="AN1316" i="2"/>
  <c r="AC1316" i="2"/>
  <c r="AB1316" i="2"/>
  <c r="AH1316" i="2" s="1"/>
  <c r="S1316" i="2"/>
  <c r="O1316" i="2"/>
  <c r="V1316" i="2" s="1"/>
  <c r="N1316" i="2"/>
  <c r="AI1316" i="2" s="1"/>
  <c r="AP1315" i="2"/>
  <c r="AN1315" i="2"/>
  <c r="AH1315" i="2"/>
  <c r="AG1315" i="2"/>
  <c r="AC1315" i="2"/>
  <c r="AB1315" i="2"/>
  <c r="S1315" i="2"/>
  <c r="P1315" i="2"/>
  <c r="U1315" i="2" s="1"/>
  <c r="O1315" i="2"/>
  <c r="N1315" i="2"/>
  <c r="AF1315" i="2" s="1"/>
  <c r="AP1314" i="2"/>
  <c r="AN1314" i="2"/>
  <c r="AF1314" i="2"/>
  <c r="AC1314" i="2"/>
  <c r="AB1314" i="2"/>
  <c r="AI1314" i="2" s="1"/>
  <c r="V1314" i="2"/>
  <c r="U1314" i="2"/>
  <c r="S1314" i="2"/>
  <c r="P1314" i="2"/>
  <c r="O1314" i="2"/>
  <c r="N1314" i="2"/>
  <c r="AP1313" i="2"/>
  <c r="AN1313" i="2"/>
  <c r="AH1313" i="2"/>
  <c r="AG1313" i="2"/>
  <c r="AF1313" i="2"/>
  <c r="AE1313" i="2"/>
  <c r="AC1313" i="2"/>
  <c r="AB1313" i="2"/>
  <c r="S1313" i="2"/>
  <c r="O1313" i="2"/>
  <c r="V1313" i="2" s="1"/>
  <c r="N1313" i="2"/>
  <c r="AI1313" i="2" s="1"/>
  <c r="AP1312" i="2"/>
  <c r="AN1312" i="2"/>
  <c r="AC1312" i="2"/>
  <c r="AB1312" i="2"/>
  <c r="V1312" i="2"/>
  <c r="S1312" i="2"/>
  <c r="W1312" i="2" s="1"/>
  <c r="P1312" i="2"/>
  <c r="U1312" i="2" s="1"/>
  <c r="O1312" i="2"/>
  <c r="N1312" i="2"/>
  <c r="AI1312" i="2" s="1"/>
  <c r="AP1311" i="2"/>
  <c r="AN1311" i="2"/>
  <c r="AC1311" i="2"/>
  <c r="AB1311" i="2"/>
  <c r="S1311" i="2"/>
  <c r="O1311" i="2"/>
  <c r="V1311" i="2" s="1"/>
  <c r="N1311" i="2"/>
  <c r="AP1310" i="2"/>
  <c r="AN1310" i="2"/>
  <c r="AC1310" i="2"/>
  <c r="AB1310" i="2"/>
  <c r="S1310" i="2"/>
  <c r="O1310" i="2"/>
  <c r="N1310" i="2"/>
  <c r="AP1309" i="2"/>
  <c r="AN1309" i="2"/>
  <c r="AC1309" i="2"/>
  <c r="AB1309" i="2"/>
  <c r="AI1309" i="2" s="1"/>
  <c r="V1309" i="2"/>
  <c r="S1309" i="2"/>
  <c r="W1309" i="2" s="1"/>
  <c r="P1309" i="2"/>
  <c r="U1309" i="2" s="1"/>
  <c r="O1309" i="2"/>
  <c r="N1309" i="2"/>
  <c r="AE1309" i="2" s="1"/>
  <c r="AP1308" i="2"/>
  <c r="AN1308" i="2"/>
  <c r="AI1308" i="2"/>
  <c r="AH1308" i="2"/>
  <c r="AC1308" i="2"/>
  <c r="AB1308" i="2"/>
  <c r="S1308" i="2"/>
  <c r="O1308" i="2"/>
  <c r="V1308" i="2" s="1"/>
  <c r="N1308" i="2"/>
  <c r="AG1308" i="2" s="1"/>
  <c r="AP1307" i="2"/>
  <c r="AN1307" i="2"/>
  <c r="AG1307" i="2"/>
  <c r="AE1307" i="2"/>
  <c r="AC1307" i="2"/>
  <c r="AB1307" i="2"/>
  <c r="V1307" i="2"/>
  <c r="S1307" i="2"/>
  <c r="P1307" i="2"/>
  <c r="U1307" i="2" s="1"/>
  <c r="O1307" i="2"/>
  <c r="N1307" i="2"/>
  <c r="AI1307" i="2" s="1"/>
  <c r="AP1306" i="2"/>
  <c r="AN1306" i="2"/>
  <c r="AI1306" i="2"/>
  <c r="AH1306" i="2"/>
  <c r="AG1306" i="2"/>
  <c r="AF1306" i="2"/>
  <c r="AE1306" i="2"/>
  <c r="AC1306" i="2"/>
  <c r="AB1306" i="2"/>
  <c r="S1306" i="2"/>
  <c r="P1306" i="2"/>
  <c r="U1306" i="2" s="1"/>
  <c r="O1306" i="2"/>
  <c r="V1306" i="2" s="1"/>
  <c r="N1306" i="2"/>
  <c r="AP1305" i="2"/>
  <c r="AN1305" i="2"/>
  <c r="AE1305" i="2"/>
  <c r="AC1305" i="2"/>
  <c r="AB1305" i="2"/>
  <c r="AH1305" i="2" s="1"/>
  <c r="V1305" i="2"/>
  <c r="S1305" i="2"/>
  <c r="P1305" i="2"/>
  <c r="U1305" i="2" s="1"/>
  <c r="O1305" i="2"/>
  <c r="N1305" i="2"/>
  <c r="AI1305" i="2" s="1"/>
  <c r="AP1304" i="2"/>
  <c r="AN1304" i="2"/>
  <c r="AC1304" i="2"/>
  <c r="AB1304" i="2"/>
  <c r="S1304" i="2"/>
  <c r="P1304" i="2"/>
  <c r="U1304" i="2" s="1"/>
  <c r="O1304" i="2"/>
  <c r="N1304" i="2"/>
  <c r="V1304" i="2" s="1"/>
  <c r="AP1303" i="2"/>
  <c r="AN1303" i="2"/>
  <c r="AC1303" i="2"/>
  <c r="AB1303" i="2"/>
  <c r="S1303" i="2"/>
  <c r="O1303" i="2"/>
  <c r="N1303" i="2"/>
  <c r="AP1302" i="2"/>
  <c r="AN1302" i="2"/>
  <c r="AC1302" i="2"/>
  <c r="AB1302" i="2"/>
  <c r="AE1302" i="2" s="1"/>
  <c r="S1302" i="2"/>
  <c r="P1302" i="2"/>
  <c r="U1302" i="2" s="1"/>
  <c r="O1302" i="2"/>
  <c r="N1302" i="2"/>
  <c r="V1302" i="2" s="1"/>
  <c r="AP1301" i="2"/>
  <c r="AN1301" i="2"/>
  <c r="AI1301" i="2"/>
  <c r="AC1301" i="2"/>
  <c r="AB1301" i="2"/>
  <c r="S1301" i="2"/>
  <c r="P1301" i="2"/>
  <c r="U1301" i="2" s="1"/>
  <c r="O1301" i="2"/>
  <c r="V1301" i="2" s="1"/>
  <c r="N1301" i="2"/>
  <c r="AH1301" i="2" s="1"/>
  <c r="AP1300" i="2"/>
  <c r="AN1300" i="2"/>
  <c r="AC1300" i="2"/>
  <c r="AB1300" i="2"/>
  <c r="AH1300" i="2" s="1"/>
  <c r="V1300" i="2"/>
  <c r="S1300" i="2"/>
  <c r="O1300" i="2"/>
  <c r="P1300" i="2" s="1"/>
  <c r="U1300" i="2" s="1"/>
  <c r="N1300" i="2"/>
  <c r="AI1300" i="2" s="1"/>
  <c r="AP1299" i="2"/>
  <c r="AN1299" i="2"/>
  <c r="AH1299" i="2"/>
  <c r="AG1299" i="2"/>
  <c r="AC1299" i="2"/>
  <c r="AB1299" i="2"/>
  <c r="S1299" i="2"/>
  <c r="P1299" i="2"/>
  <c r="U1299" i="2" s="1"/>
  <c r="O1299" i="2"/>
  <c r="N1299" i="2"/>
  <c r="AF1299" i="2" s="1"/>
  <c r="AP1298" i="2"/>
  <c r="AN1298" i="2"/>
  <c r="AC1298" i="2"/>
  <c r="AF1298" i="2" s="1"/>
  <c r="AB1298" i="2"/>
  <c r="AI1298" i="2" s="1"/>
  <c r="V1298" i="2"/>
  <c r="S1298" i="2"/>
  <c r="P1298" i="2"/>
  <c r="U1298" i="2" s="1"/>
  <c r="O1298" i="2"/>
  <c r="N1298" i="2"/>
  <c r="AP1297" i="2"/>
  <c r="AN1297" i="2"/>
  <c r="AH1297" i="2"/>
  <c r="AG1297" i="2"/>
  <c r="AF1297" i="2"/>
  <c r="AE1297" i="2"/>
  <c r="AC1297" i="2"/>
  <c r="AB1297" i="2"/>
  <c r="S1297" i="2"/>
  <c r="O1297" i="2"/>
  <c r="V1297" i="2" s="1"/>
  <c r="N1297" i="2"/>
  <c r="AI1297" i="2" s="1"/>
  <c r="AP1296" i="2"/>
  <c r="AN1296" i="2"/>
  <c r="AC1296" i="2"/>
  <c r="AB1296" i="2"/>
  <c r="V1296" i="2"/>
  <c r="S1296" i="2"/>
  <c r="P1296" i="2"/>
  <c r="U1296" i="2" s="1"/>
  <c r="O1296" i="2"/>
  <c r="N1296" i="2"/>
  <c r="AI1296" i="2" s="1"/>
  <c r="AP1295" i="2"/>
  <c r="AN1295" i="2"/>
  <c r="AC1295" i="2"/>
  <c r="AB1295" i="2"/>
  <c r="S1295" i="2"/>
  <c r="O1295" i="2"/>
  <c r="V1295" i="2" s="1"/>
  <c r="N1295" i="2"/>
  <c r="AP1294" i="2"/>
  <c r="AN1294" i="2"/>
  <c r="AC1294" i="2"/>
  <c r="AB1294" i="2"/>
  <c r="S1294" i="2"/>
  <c r="O1294" i="2"/>
  <c r="N1294" i="2"/>
  <c r="AP1293" i="2"/>
  <c r="AN1293" i="2"/>
  <c r="AC1293" i="2"/>
  <c r="AG1293" i="2" s="1"/>
  <c r="AB1293" i="2"/>
  <c r="AI1293" i="2" s="1"/>
  <c r="V1293" i="2"/>
  <c r="S1293" i="2"/>
  <c r="P1293" i="2"/>
  <c r="U1293" i="2" s="1"/>
  <c r="O1293" i="2"/>
  <c r="N1293" i="2"/>
  <c r="AP1292" i="2"/>
  <c r="AN1292" i="2"/>
  <c r="AI1292" i="2"/>
  <c r="AH1292" i="2"/>
  <c r="AC1292" i="2"/>
  <c r="AB1292" i="2"/>
  <c r="S1292" i="2"/>
  <c r="O1292" i="2"/>
  <c r="V1292" i="2" s="1"/>
  <c r="N1292" i="2"/>
  <c r="AG1292" i="2" s="1"/>
  <c r="AP1291" i="2"/>
  <c r="AN1291" i="2"/>
  <c r="AG1291" i="2"/>
  <c r="AE1291" i="2"/>
  <c r="AC1291" i="2"/>
  <c r="AB1291" i="2"/>
  <c r="V1291" i="2"/>
  <c r="S1291" i="2"/>
  <c r="P1291" i="2"/>
  <c r="U1291" i="2" s="1"/>
  <c r="O1291" i="2"/>
  <c r="N1291" i="2"/>
  <c r="AI1291" i="2" s="1"/>
  <c r="AP1290" i="2"/>
  <c r="AN1290" i="2"/>
  <c r="AI1290" i="2"/>
  <c r="AH1290" i="2"/>
  <c r="AG1290" i="2"/>
  <c r="AF1290" i="2"/>
  <c r="AE1290" i="2"/>
  <c r="AC1290" i="2"/>
  <c r="AB1290" i="2"/>
  <c r="S1290" i="2"/>
  <c r="P1290" i="2"/>
  <c r="U1290" i="2" s="1"/>
  <c r="O1290" i="2"/>
  <c r="V1290" i="2" s="1"/>
  <c r="N1290" i="2"/>
  <c r="AP1289" i="2"/>
  <c r="AN1289" i="2"/>
  <c r="AC1289" i="2"/>
  <c r="AB1289" i="2"/>
  <c r="AE1289" i="2" s="1"/>
  <c r="V1289" i="2"/>
  <c r="S1289" i="2"/>
  <c r="P1289" i="2"/>
  <c r="U1289" i="2" s="1"/>
  <c r="O1289" i="2"/>
  <c r="N1289" i="2"/>
  <c r="AI1289" i="2" s="1"/>
  <c r="AP1288" i="2"/>
  <c r="AN1288" i="2"/>
  <c r="AC1288" i="2"/>
  <c r="AG1288" i="2" s="1"/>
  <c r="AB1288" i="2"/>
  <c r="S1288" i="2"/>
  <c r="P1288" i="2"/>
  <c r="U1288" i="2" s="1"/>
  <c r="O1288" i="2"/>
  <c r="N1288" i="2"/>
  <c r="V1288" i="2" s="1"/>
  <c r="AP1287" i="2"/>
  <c r="AN1287" i="2"/>
  <c r="AC1287" i="2"/>
  <c r="AB1287" i="2"/>
  <c r="S1287" i="2"/>
  <c r="P1287" i="2"/>
  <c r="U1287" i="2" s="1"/>
  <c r="O1287" i="2"/>
  <c r="V1287" i="2" s="1"/>
  <c r="N1287" i="2"/>
  <c r="AP1286" i="2"/>
  <c r="AN1286" i="2"/>
  <c r="AC1286" i="2"/>
  <c r="AB1286" i="2"/>
  <c r="S1286" i="2"/>
  <c r="P1286" i="2"/>
  <c r="U1286" i="2" s="1"/>
  <c r="O1286" i="2"/>
  <c r="N1286" i="2"/>
  <c r="V1286" i="2" s="1"/>
  <c r="AP1285" i="2"/>
  <c r="AN1285" i="2"/>
  <c r="AC1285" i="2"/>
  <c r="AB1285" i="2"/>
  <c r="S1285" i="2"/>
  <c r="P1285" i="2"/>
  <c r="U1285" i="2" s="1"/>
  <c r="O1285" i="2"/>
  <c r="N1285" i="2"/>
  <c r="AP1284" i="2"/>
  <c r="AN1284" i="2"/>
  <c r="AC1284" i="2"/>
  <c r="AB1284" i="2"/>
  <c r="AH1284" i="2" s="1"/>
  <c r="V1284" i="2"/>
  <c r="S1284" i="2"/>
  <c r="O1284" i="2"/>
  <c r="P1284" i="2" s="1"/>
  <c r="U1284" i="2" s="1"/>
  <c r="N1284" i="2"/>
  <c r="AI1284" i="2" s="1"/>
  <c r="AP1283" i="2"/>
  <c r="AN1283" i="2"/>
  <c r="AH1283" i="2"/>
  <c r="AG1283" i="2"/>
  <c r="AC1283" i="2"/>
  <c r="AB1283" i="2"/>
  <c r="S1283" i="2"/>
  <c r="P1283" i="2"/>
  <c r="U1283" i="2" s="1"/>
  <c r="O1283" i="2"/>
  <c r="N1283" i="2"/>
  <c r="AF1283" i="2" s="1"/>
  <c r="AP1282" i="2"/>
  <c r="AN1282" i="2"/>
  <c r="AC1282" i="2"/>
  <c r="AF1282" i="2" s="1"/>
  <c r="AB1282" i="2"/>
  <c r="AI1282" i="2" s="1"/>
  <c r="V1282" i="2"/>
  <c r="S1282" i="2"/>
  <c r="P1282" i="2"/>
  <c r="U1282" i="2" s="1"/>
  <c r="O1282" i="2"/>
  <c r="N1282" i="2"/>
  <c r="AG1282" i="2" s="1"/>
  <c r="AP1281" i="2"/>
  <c r="AN1281" i="2"/>
  <c r="AH1281" i="2"/>
  <c r="AF1281" i="2"/>
  <c r="AE1281" i="2"/>
  <c r="AC1281" i="2"/>
  <c r="AB1281" i="2"/>
  <c r="S1281" i="2"/>
  <c r="O1281" i="2"/>
  <c r="V1281" i="2" s="1"/>
  <c r="N1281" i="2"/>
  <c r="AI1281" i="2" s="1"/>
  <c r="AP1280" i="2"/>
  <c r="AN1280" i="2"/>
  <c r="AC1280" i="2"/>
  <c r="AB1280" i="2"/>
  <c r="V1280" i="2"/>
  <c r="S1280" i="2"/>
  <c r="P1280" i="2"/>
  <c r="U1280" i="2" s="1"/>
  <c r="O1280" i="2"/>
  <c r="N1280" i="2"/>
  <c r="AI1280" i="2" s="1"/>
  <c r="AP1279" i="2"/>
  <c r="P26" i="1" s="1"/>
  <c r="AN1279" i="2"/>
  <c r="AC1279" i="2"/>
  <c r="AB1279" i="2"/>
  <c r="S1279" i="2"/>
  <c r="O1279" i="2"/>
  <c r="V1279" i="2" s="1"/>
  <c r="N1279" i="2"/>
  <c r="AP1278" i="2"/>
  <c r="AN1278" i="2"/>
  <c r="AC1278" i="2"/>
  <c r="AB1278" i="2"/>
  <c r="S1278" i="2"/>
  <c r="O1278" i="2"/>
  <c r="N1278" i="2"/>
  <c r="AP1277" i="2"/>
  <c r="AN1277" i="2"/>
  <c r="AC1277" i="2"/>
  <c r="AG1277" i="2" s="1"/>
  <c r="AB1277" i="2"/>
  <c r="AI1277" i="2" s="1"/>
  <c r="V1277" i="2"/>
  <c r="S1277" i="2"/>
  <c r="P1277" i="2"/>
  <c r="U1277" i="2" s="1"/>
  <c r="AO1277" i="2" s="1"/>
  <c r="O1277" i="2"/>
  <c r="N1277" i="2"/>
  <c r="AE1277" i="2" s="1"/>
  <c r="AP1276" i="2"/>
  <c r="AN1276" i="2"/>
  <c r="AI1276" i="2"/>
  <c r="AH1276" i="2"/>
  <c r="AC1276" i="2"/>
  <c r="AB1276" i="2"/>
  <c r="S1276" i="2"/>
  <c r="O1276" i="2"/>
  <c r="AG1276" i="2" s="1"/>
  <c r="N1276" i="2"/>
  <c r="AF1276" i="2" s="1"/>
  <c r="AP1275" i="2"/>
  <c r="AN1275" i="2"/>
  <c r="AG1275" i="2"/>
  <c r="AE1275" i="2"/>
  <c r="AC1275" i="2"/>
  <c r="AB1275" i="2"/>
  <c r="V1275" i="2"/>
  <c r="S1275" i="2"/>
  <c r="P1275" i="2"/>
  <c r="U1275" i="2" s="1"/>
  <c r="O1275" i="2"/>
  <c r="N1275" i="2"/>
  <c r="AI1275" i="2" s="1"/>
  <c r="AP1274" i="2"/>
  <c r="AN1274" i="2"/>
  <c r="AI1274" i="2"/>
  <c r="AH1274" i="2"/>
  <c r="AG1274" i="2"/>
  <c r="AF1274" i="2"/>
  <c r="AE1274" i="2"/>
  <c r="AC1274" i="2"/>
  <c r="AB1274" i="2"/>
  <c r="S1274" i="2"/>
  <c r="P1274" i="2"/>
  <c r="U1274" i="2" s="1"/>
  <c r="O1274" i="2"/>
  <c r="V1274" i="2" s="1"/>
  <c r="N1274" i="2"/>
  <c r="AP1273" i="2"/>
  <c r="AN1273" i="2"/>
  <c r="AC1273" i="2"/>
  <c r="AB1273" i="2"/>
  <c r="AE1273" i="2" s="1"/>
  <c r="V1273" i="2"/>
  <c r="S1273" i="2"/>
  <c r="P1273" i="2"/>
  <c r="U1273" i="2" s="1"/>
  <c r="O1273" i="2"/>
  <c r="N1273" i="2"/>
  <c r="AI1273" i="2" s="1"/>
  <c r="AP1272" i="2"/>
  <c r="AN1272" i="2"/>
  <c r="AG1272" i="2"/>
  <c r="AC1272" i="2"/>
  <c r="AE1272" i="2" s="1"/>
  <c r="AB1272" i="2"/>
  <c r="S1272" i="2"/>
  <c r="P1272" i="2"/>
  <c r="U1272" i="2" s="1"/>
  <c r="O1272" i="2"/>
  <c r="V1272" i="2" s="1"/>
  <c r="N1272" i="2"/>
  <c r="AI1272" i="2" s="1"/>
  <c r="AP1271" i="2"/>
  <c r="AN1271" i="2"/>
  <c r="AC1271" i="2"/>
  <c r="AB1271" i="2"/>
  <c r="S1271" i="2"/>
  <c r="P1271" i="2"/>
  <c r="U1271" i="2" s="1"/>
  <c r="O1271" i="2"/>
  <c r="V1271" i="2" s="1"/>
  <c r="N1271" i="2"/>
  <c r="AI1271" i="2" s="1"/>
  <c r="AP1270" i="2"/>
  <c r="AN1270" i="2"/>
  <c r="AC1270" i="2"/>
  <c r="AB1270" i="2"/>
  <c r="AH1270" i="2" s="1"/>
  <c r="S1270" i="2"/>
  <c r="P1270" i="2"/>
  <c r="O1270" i="2"/>
  <c r="N1270" i="2"/>
  <c r="V1270" i="2" s="1"/>
  <c r="AP1269" i="2"/>
  <c r="AN1269" i="2"/>
  <c r="AI1269" i="2"/>
  <c r="AC1269" i="2"/>
  <c r="AB1269" i="2"/>
  <c r="V1269" i="2"/>
  <c r="S1269" i="2"/>
  <c r="P1269" i="2"/>
  <c r="U1269" i="2" s="1"/>
  <c r="O1269" i="2"/>
  <c r="N1269" i="2"/>
  <c r="AP1268" i="2"/>
  <c r="AN1268" i="2"/>
  <c r="AF1268" i="2"/>
  <c r="AC1268" i="2"/>
  <c r="AB1268" i="2"/>
  <c r="V1268" i="2"/>
  <c r="S1268" i="2"/>
  <c r="W1268" i="2" s="1"/>
  <c r="X1268" i="2" s="1"/>
  <c r="O1268" i="2"/>
  <c r="P1268" i="2" s="1"/>
  <c r="U1268" i="2" s="1"/>
  <c r="N1268" i="2"/>
  <c r="AI1268" i="2" s="1"/>
  <c r="AP1267" i="2"/>
  <c r="AN1267" i="2"/>
  <c r="AG1267" i="2"/>
  <c r="AC1267" i="2"/>
  <c r="AB1267" i="2"/>
  <c r="S1267" i="2"/>
  <c r="P1267" i="2"/>
  <c r="U1267" i="2" s="1"/>
  <c r="O1267" i="2"/>
  <c r="N1267" i="2"/>
  <c r="AH1267" i="2" s="1"/>
  <c r="AP1266" i="2"/>
  <c r="AN1266" i="2"/>
  <c r="AC1266" i="2"/>
  <c r="AB1266" i="2"/>
  <c r="AI1266" i="2" s="1"/>
  <c r="V1266" i="2"/>
  <c r="S1266" i="2"/>
  <c r="P1266" i="2"/>
  <c r="U1266" i="2" s="1"/>
  <c r="O1266" i="2"/>
  <c r="N1266" i="2"/>
  <c r="AH1266" i="2" s="1"/>
  <c r="AP1265" i="2"/>
  <c r="AN1265" i="2"/>
  <c r="AG1265" i="2"/>
  <c r="AC1265" i="2"/>
  <c r="AF1265" i="2" s="1"/>
  <c r="AB1265" i="2"/>
  <c r="S1265" i="2"/>
  <c r="O1265" i="2"/>
  <c r="N1265" i="2"/>
  <c r="AI1265" i="2" s="1"/>
  <c r="AP1264" i="2"/>
  <c r="AN1264" i="2"/>
  <c r="AC1264" i="2"/>
  <c r="AB1264" i="2"/>
  <c r="V1264" i="2"/>
  <c r="S1264" i="2"/>
  <c r="P1264" i="2"/>
  <c r="U1264" i="2" s="1"/>
  <c r="O1264" i="2"/>
  <c r="N1264" i="2"/>
  <c r="AI1264" i="2" s="1"/>
  <c r="AP1263" i="2"/>
  <c r="AN1263" i="2"/>
  <c r="AH1263" i="2"/>
  <c r="AC1263" i="2"/>
  <c r="AB1263" i="2"/>
  <c r="AE1263" i="2" s="1"/>
  <c r="S1263" i="2"/>
  <c r="O1263" i="2"/>
  <c r="N1263" i="2"/>
  <c r="AP1262" i="2"/>
  <c r="AN1262" i="2"/>
  <c r="AC1262" i="2"/>
  <c r="AB1262" i="2"/>
  <c r="S1262" i="2"/>
  <c r="O1262" i="2"/>
  <c r="N1262" i="2"/>
  <c r="AP1261" i="2"/>
  <c r="AN1261" i="2"/>
  <c r="AI1261" i="2"/>
  <c r="AG1261" i="2"/>
  <c r="AC1261" i="2"/>
  <c r="AB1261" i="2"/>
  <c r="AE1261" i="2" s="1"/>
  <c r="V1261" i="2"/>
  <c r="S1261" i="2"/>
  <c r="P1261" i="2"/>
  <c r="U1261" i="2" s="1"/>
  <c r="O1261" i="2"/>
  <c r="N1261" i="2"/>
  <c r="AP1260" i="2"/>
  <c r="AN1260" i="2"/>
  <c r="AC1260" i="2"/>
  <c r="AB1260" i="2"/>
  <c r="S1260" i="2"/>
  <c r="O1260" i="2"/>
  <c r="P1260" i="2" s="1"/>
  <c r="N1260" i="2"/>
  <c r="AG1260" i="2" s="1"/>
  <c r="AP1259" i="2"/>
  <c r="AN1259" i="2"/>
  <c r="AC1259" i="2"/>
  <c r="AB1259" i="2"/>
  <c r="V1259" i="2"/>
  <c r="S1259" i="2"/>
  <c r="P1259" i="2"/>
  <c r="U1259" i="2" s="1"/>
  <c r="O1259" i="2"/>
  <c r="N1259" i="2"/>
  <c r="AG1259" i="2" s="1"/>
  <c r="AP1258" i="2"/>
  <c r="AN1258" i="2"/>
  <c r="AC1258" i="2"/>
  <c r="AB1258" i="2"/>
  <c r="S1258" i="2"/>
  <c r="O1258" i="2"/>
  <c r="N1258" i="2"/>
  <c r="AI1258" i="2" s="1"/>
  <c r="AP1257" i="2"/>
  <c r="AN1257" i="2"/>
  <c r="AI1257" i="2"/>
  <c r="AC1257" i="2"/>
  <c r="AB1257" i="2"/>
  <c r="AE1257" i="2" s="1"/>
  <c r="S1257" i="2"/>
  <c r="O1257" i="2"/>
  <c r="V1257" i="2" s="1"/>
  <c r="N1257" i="2"/>
  <c r="AG1257" i="2" s="1"/>
  <c r="AP1256" i="2"/>
  <c r="AN1256" i="2"/>
  <c r="AI1256" i="2"/>
  <c r="AH1256" i="2"/>
  <c r="AG1256" i="2"/>
  <c r="AC1256" i="2"/>
  <c r="AB1256" i="2"/>
  <c r="V1256" i="2"/>
  <c r="S1256" i="2"/>
  <c r="P1256" i="2"/>
  <c r="U1256" i="2" s="1"/>
  <c r="O1256" i="2"/>
  <c r="N1256" i="2"/>
  <c r="AF1256" i="2" s="1"/>
  <c r="AP1255" i="2"/>
  <c r="AN1255" i="2"/>
  <c r="AG1255" i="2"/>
  <c r="AC1255" i="2"/>
  <c r="AB1255" i="2"/>
  <c r="V1255" i="2"/>
  <c r="S1255" i="2"/>
  <c r="O1255" i="2"/>
  <c r="P1255" i="2" s="1"/>
  <c r="U1255" i="2" s="1"/>
  <c r="N1255" i="2"/>
  <c r="AH1255" i="2" s="1"/>
  <c r="AP1254" i="2"/>
  <c r="AN1254" i="2"/>
  <c r="AG1254" i="2"/>
  <c r="AF1254" i="2"/>
  <c r="AE1254" i="2"/>
  <c r="AC1254" i="2"/>
  <c r="AB1254" i="2"/>
  <c r="S1254" i="2"/>
  <c r="O1254" i="2"/>
  <c r="V1254" i="2" s="1"/>
  <c r="N1254" i="2"/>
  <c r="AI1254" i="2" s="1"/>
  <c r="AP1253" i="2"/>
  <c r="AN1253" i="2"/>
  <c r="AI1253" i="2"/>
  <c r="AG1253" i="2"/>
  <c r="AE1253" i="2"/>
  <c r="AC1253" i="2"/>
  <c r="AH1253" i="2" s="1"/>
  <c r="AB1253" i="2"/>
  <c r="S1253" i="2"/>
  <c r="P1253" i="2"/>
  <c r="U1253" i="2" s="1"/>
  <c r="O1253" i="2"/>
  <c r="N1253" i="2"/>
  <c r="AF1253" i="2" s="1"/>
  <c r="AP1252" i="2"/>
  <c r="AN1252" i="2"/>
  <c r="AC1252" i="2"/>
  <c r="AB1252" i="2"/>
  <c r="S1252" i="2"/>
  <c r="P1252" i="2"/>
  <c r="U1252" i="2" s="1"/>
  <c r="O1252" i="2"/>
  <c r="V1252" i="2" s="1"/>
  <c r="N1252" i="2"/>
  <c r="AP1251" i="2"/>
  <c r="AN1251" i="2"/>
  <c r="AC1251" i="2"/>
  <c r="AB1251" i="2"/>
  <c r="S1251" i="2"/>
  <c r="O1251" i="2"/>
  <c r="N1251" i="2"/>
  <c r="AP1250" i="2"/>
  <c r="AN1250" i="2"/>
  <c r="AC1250" i="2"/>
  <c r="AB1250" i="2"/>
  <c r="S1250" i="2"/>
  <c r="P1250" i="2"/>
  <c r="O1250" i="2"/>
  <c r="N1250" i="2"/>
  <c r="V1250" i="2" s="1"/>
  <c r="AP1249" i="2"/>
  <c r="AI1249" i="2"/>
  <c r="AH1249" i="2"/>
  <c r="AC1249" i="2"/>
  <c r="AB1249" i="2"/>
  <c r="S1249" i="2"/>
  <c r="P1249" i="2"/>
  <c r="O1249" i="2"/>
  <c r="V1249" i="2" s="1"/>
  <c r="N1249" i="2"/>
  <c r="AG1249" i="2" s="1"/>
  <c r="AP1248" i="2"/>
  <c r="AN1248" i="2"/>
  <c r="AH1248" i="2"/>
  <c r="AC1248" i="2"/>
  <c r="AB1248" i="2"/>
  <c r="V1248" i="2"/>
  <c r="S1248" i="2"/>
  <c r="P1248" i="2"/>
  <c r="U1248" i="2" s="1"/>
  <c r="O1248" i="2"/>
  <c r="N1248" i="2"/>
  <c r="AI1248" i="2" s="1"/>
  <c r="AP1247" i="2"/>
  <c r="AH1247" i="2"/>
  <c r="AG1247" i="2"/>
  <c r="AF1247" i="2"/>
  <c r="AC1247" i="2"/>
  <c r="AB1247" i="2"/>
  <c r="V1247" i="2"/>
  <c r="S1247" i="2"/>
  <c r="P1247" i="2"/>
  <c r="U1247" i="2" s="1"/>
  <c r="O1247" i="2"/>
  <c r="N1247" i="2"/>
  <c r="AE1247" i="2" s="1"/>
  <c r="AP1246" i="2"/>
  <c r="AF1246" i="2"/>
  <c r="AC1246" i="2"/>
  <c r="AB1246" i="2"/>
  <c r="V1246" i="2"/>
  <c r="S1246" i="2"/>
  <c r="O1246" i="2"/>
  <c r="P1246" i="2" s="1"/>
  <c r="U1246" i="2" s="1"/>
  <c r="N1246" i="2"/>
  <c r="AI1246" i="2" s="1"/>
  <c r="AP1245" i="2"/>
  <c r="AN1245" i="2"/>
  <c r="AE1245" i="2"/>
  <c r="AC1245" i="2"/>
  <c r="AF1245" i="2" s="1"/>
  <c r="AB1245" i="2"/>
  <c r="V1245" i="2"/>
  <c r="S1245" i="2"/>
  <c r="P1245" i="2"/>
  <c r="U1245" i="2" s="1"/>
  <c r="O1245" i="2"/>
  <c r="N1245" i="2"/>
  <c r="AI1245" i="2" s="1"/>
  <c r="AP1244" i="2"/>
  <c r="AN1244" i="2"/>
  <c r="AC1244" i="2"/>
  <c r="AB1244" i="2"/>
  <c r="S1244" i="2"/>
  <c r="O1244" i="2"/>
  <c r="N1244" i="2"/>
  <c r="AP1243" i="2"/>
  <c r="AC1243" i="2"/>
  <c r="AB1243" i="2"/>
  <c r="AH1243" i="2" s="1"/>
  <c r="S1243" i="2"/>
  <c r="O1243" i="2"/>
  <c r="V1243" i="2" s="1"/>
  <c r="N1243" i="2"/>
  <c r="AP1242" i="2"/>
  <c r="AC1242" i="2"/>
  <c r="AB1242" i="2"/>
  <c r="S1242" i="2"/>
  <c r="O1242" i="2"/>
  <c r="N1242" i="2"/>
  <c r="AP1241" i="2"/>
  <c r="AN1241" i="2"/>
  <c r="AI1241" i="2"/>
  <c r="AC1241" i="2"/>
  <c r="AB1241" i="2"/>
  <c r="S1241" i="2"/>
  <c r="O1241" i="2"/>
  <c r="V1241" i="2" s="1"/>
  <c r="N1241" i="2"/>
  <c r="AG1241" i="2" s="1"/>
  <c r="AP1240" i="2"/>
  <c r="AN1240" i="2"/>
  <c r="AI1240" i="2"/>
  <c r="AH1240" i="2"/>
  <c r="AG1240" i="2"/>
  <c r="AC1240" i="2"/>
  <c r="AE1240" i="2" s="1"/>
  <c r="AB1240" i="2"/>
  <c r="V1240" i="2"/>
  <c r="S1240" i="2"/>
  <c r="W1240" i="2" s="1"/>
  <c r="P1240" i="2"/>
  <c r="U1240" i="2" s="1"/>
  <c r="O1240" i="2"/>
  <c r="N1240" i="2"/>
  <c r="AF1240" i="2" s="1"/>
  <c r="AP1239" i="2"/>
  <c r="AN1239" i="2"/>
  <c r="AI1239" i="2"/>
  <c r="AG1239" i="2"/>
  <c r="AC1239" i="2"/>
  <c r="AB1239" i="2"/>
  <c r="V1239" i="2"/>
  <c r="S1239" i="2"/>
  <c r="O1239" i="2"/>
  <c r="P1239" i="2" s="1"/>
  <c r="U1239" i="2" s="1"/>
  <c r="N1239" i="2"/>
  <c r="AH1239" i="2" s="1"/>
  <c r="AP1238" i="2"/>
  <c r="AN1238" i="2"/>
  <c r="AG1238" i="2"/>
  <c r="AF1238" i="2"/>
  <c r="AE1238" i="2"/>
  <c r="AC1238" i="2"/>
  <c r="AB1238" i="2"/>
  <c r="S1238" i="2"/>
  <c r="O1238" i="2"/>
  <c r="V1238" i="2" s="1"/>
  <c r="N1238" i="2"/>
  <c r="AI1238" i="2" s="1"/>
  <c r="AP1237" i="2"/>
  <c r="AN1237" i="2"/>
  <c r="AI1237" i="2"/>
  <c r="AG1237" i="2"/>
  <c r="AE1237" i="2"/>
  <c r="AC1237" i="2"/>
  <c r="AB1237" i="2"/>
  <c r="S1237" i="2"/>
  <c r="P1237" i="2"/>
  <c r="U1237" i="2" s="1"/>
  <c r="O1237" i="2"/>
  <c r="N1237" i="2"/>
  <c r="AH1237" i="2" s="1"/>
  <c r="AP1236" i="2"/>
  <c r="P24" i="1" s="1"/>
  <c r="AC1236" i="2"/>
  <c r="AB1236" i="2"/>
  <c r="S1236" i="2"/>
  <c r="P1236" i="2"/>
  <c r="U1236" i="2" s="1"/>
  <c r="O1236" i="2"/>
  <c r="V1236" i="2" s="1"/>
  <c r="N1236" i="2"/>
  <c r="AP1235" i="2"/>
  <c r="AC1235" i="2"/>
  <c r="AB1235" i="2"/>
  <c r="S1235" i="2"/>
  <c r="O1235" i="2"/>
  <c r="V1235" i="2" s="1"/>
  <c r="N1235" i="2"/>
  <c r="AP1234" i="2"/>
  <c r="AN1234" i="2"/>
  <c r="AC1234" i="2"/>
  <c r="AB1234" i="2"/>
  <c r="S1234" i="2"/>
  <c r="P1234" i="2"/>
  <c r="O1234" i="2"/>
  <c r="N1234" i="2"/>
  <c r="V1234" i="2" s="1"/>
  <c r="AP1233" i="2"/>
  <c r="AN1233" i="2"/>
  <c r="AI1233" i="2"/>
  <c r="AH1233" i="2"/>
  <c r="AC1233" i="2"/>
  <c r="AB1233" i="2"/>
  <c r="S1233" i="2"/>
  <c r="P1233" i="2"/>
  <c r="O1233" i="2"/>
  <c r="V1233" i="2" s="1"/>
  <c r="N1233" i="2"/>
  <c r="AP1232" i="2"/>
  <c r="AH1232" i="2"/>
  <c r="AC1232" i="2"/>
  <c r="AB1232" i="2"/>
  <c r="V1232" i="2"/>
  <c r="S1232" i="2"/>
  <c r="P1232" i="2"/>
  <c r="U1232" i="2" s="1"/>
  <c r="O1232" i="2"/>
  <c r="N1232" i="2"/>
  <c r="AI1232" i="2" s="1"/>
  <c r="AP1231" i="2"/>
  <c r="AN1231" i="2"/>
  <c r="AH1231" i="2"/>
  <c r="AG1231" i="2"/>
  <c r="AF1231" i="2"/>
  <c r="AC1231" i="2"/>
  <c r="AB1231" i="2"/>
  <c r="V1231" i="2"/>
  <c r="S1231" i="2"/>
  <c r="P1231" i="2"/>
  <c r="U1231" i="2" s="1"/>
  <c r="AO1231" i="2" s="1"/>
  <c r="O1231" i="2"/>
  <c r="N1231" i="2"/>
  <c r="AE1231" i="2" s="1"/>
  <c r="AP1230" i="2"/>
  <c r="AH1230" i="2"/>
  <c r="AF1230" i="2"/>
  <c r="AE1230" i="2"/>
  <c r="AC1230" i="2"/>
  <c r="AB1230" i="2"/>
  <c r="V1230" i="2"/>
  <c r="S1230" i="2"/>
  <c r="O1230" i="2"/>
  <c r="P1230" i="2" s="1"/>
  <c r="U1230" i="2" s="1"/>
  <c r="N1230" i="2"/>
  <c r="AI1230" i="2" s="1"/>
  <c r="AP1229" i="2"/>
  <c r="AE1229" i="2"/>
  <c r="AC1229" i="2"/>
  <c r="AF1229" i="2" s="1"/>
  <c r="AB1229" i="2"/>
  <c r="V1229" i="2"/>
  <c r="S1229" i="2"/>
  <c r="P1229" i="2"/>
  <c r="U1229" i="2" s="1"/>
  <c r="O1229" i="2"/>
  <c r="N1229" i="2"/>
  <c r="AI1229" i="2" s="1"/>
  <c r="AP1228" i="2"/>
  <c r="AN1228" i="2"/>
  <c r="AC1228" i="2"/>
  <c r="AB1228" i="2"/>
  <c r="AI1228" i="2" s="1"/>
  <c r="S1228" i="2"/>
  <c r="P1228" i="2"/>
  <c r="U1228" i="2" s="1"/>
  <c r="O1228" i="2"/>
  <c r="N1228" i="2"/>
  <c r="AP1227" i="2"/>
  <c r="AN1227" i="2"/>
  <c r="AC1227" i="2"/>
  <c r="AB1227" i="2"/>
  <c r="S1227" i="2"/>
  <c r="O1227" i="2"/>
  <c r="N1227" i="2"/>
  <c r="AI1227" i="2" s="1"/>
  <c r="AP1226" i="2"/>
  <c r="AC1226" i="2"/>
  <c r="AB1226" i="2"/>
  <c r="S1226" i="2"/>
  <c r="O1226" i="2"/>
  <c r="N1226" i="2"/>
  <c r="AI1226" i="2" s="1"/>
  <c r="AP1225" i="2"/>
  <c r="AI1225" i="2"/>
  <c r="AC1225" i="2"/>
  <c r="AB1225" i="2"/>
  <c r="S1225" i="2"/>
  <c r="O1225" i="2"/>
  <c r="V1225" i="2" s="1"/>
  <c r="N1225" i="2"/>
  <c r="AP1224" i="2"/>
  <c r="AN1224" i="2"/>
  <c r="AI1224" i="2"/>
  <c r="AH1224" i="2"/>
  <c r="AG1224" i="2"/>
  <c r="AC1224" i="2"/>
  <c r="AE1224" i="2" s="1"/>
  <c r="AB1224" i="2"/>
  <c r="V1224" i="2"/>
  <c r="S1224" i="2"/>
  <c r="P1224" i="2"/>
  <c r="U1224" i="2" s="1"/>
  <c r="O1224" i="2"/>
  <c r="N1224" i="2"/>
  <c r="AF1224" i="2" s="1"/>
  <c r="AP1223" i="2"/>
  <c r="AI1223" i="2"/>
  <c r="AG1223" i="2"/>
  <c r="AF1223" i="2"/>
  <c r="AC1223" i="2"/>
  <c r="AB1223" i="2"/>
  <c r="V1223" i="2"/>
  <c r="S1223" i="2"/>
  <c r="O1223" i="2"/>
  <c r="P1223" i="2" s="1"/>
  <c r="U1223" i="2" s="1"/>
  <c r="N1223" i="2"/>
  <c r="AH1223" i="2" s="1"/>
  <c r="AP1222" i="2"/>
  <c r="AN1222" i="2"/>
  <c r="AG1222" i="2"/>
  <c r="AF1222" i="2"/>
  <c r="AE1222" i="2"/>
  <c r="AC1222" i="2"/>
  <c r="AB1222" i="2"/>
  <c r="S1222" i="2"/>
  <c r="O1222" i="2"/>
  <c r="V1222" i="2" s="1"/>
  <c r="N1222" i="2"/>
  <c r="AI1222" i="2" s="1"/>
  <c r="AP1221" i="2"/>
  <c r="AG1221" i="2"/>
  <c r="AE1221" i="2"/>
  <c r="AC1221" i="2"/>
  <c r="AI1221" i="2" s="1"/>
  <c r="AB1221" i="2"/>
  <c r="S1221" i="2"/>
  <c r="P1221" i="2"/>
  <c r="U1221" i="2" s="1"/>
  <c r="O1221" i="2"/>
  <c r="V1221" i="2" s="1"/>
  <c r="N1221" i="2"/>
  <c r="AH1221" i="2" s="1"/>
  <c r="AP1220" i="2"/>
  <c r="AN1220" i="2"/>
  <c r="AE1220" i="2"/>
  <c r="AC1220" i="2"/>
  <c r="AB1220" i="2"/>
  <c r="S1220" i="2"/>
  <c r="P1220" i="2"/>
  <c r="U1220" i="2" s="1"/>
  <c r="O1220" i="2"/>
  <c r="V1220" i="2" s="1"/>
  <c r="N1220" i="2"/>
  <c r="AP1219" i="2"/>
  <c r="AE1219" i="2"/>
  <c r="AC1219" i="2"/>
  <c r="AB1219" i="2"/>
  <c r="S1219" i="2"/>
  <c r="P1219" i="2"/>
  <c r="O1219" i="2"/>
  <c r="V1219" i="2" s="1"/>
  <c r="N1219" i="2"/>
  <c r="AP1218" i="2"/>
  <c r="AC1218" i="2"/>
  <c r="AB1218" i="2"/>
  <c r="S1218" i="2"/>
  <c r="P1218" i="2"/>
  <c r="U1218" i="2" s="1"/>
  <c r="O1218" i="2"/>
  <c r="N1218" i="2"/>
  <c r="AP1217" i="2"/>
  <c r="AN1217" i="2"/>
  <c r="AC1217" i="2"/>
  <c r="AB1217" i="2"/>
  <c r="S1217" i="2"/>
  <c r="P1217" i="2"/>
  <c r="O1217" i="2"/>
  <c r="N1217" i="2"/>
  <c r="AP1216" i="2"/>
  <c r="AC1216" i="2"/>
  <c r="AB1216" i="2"/>
  <c r="S1216" i="2"/>
  <c r="P1216" i="2"/>
  <c r="U1216" i="2" s="1"/>
  <c r="O1216" i="2"/>
  <c r="N1216" i="2"/>
  <c r="AP1215" i="2"/>
  <c r="AN1215" i="2"/>
  <c r="AH1215" i="2"/>
  <c r="AG1215" i="2"/>
  <c r="AF1215" i="2"/>
  <c r="AC1215" i="2"/>
  <c r="AB1215" i="2"/>
  <c r="V1215" i="2"/>
  <c r="S1215" i="2"/>
  <c r="P1215" i="2"/>
  <c r="U1215" i="2" s="1"/>
  <c r="O1215" i="2"/>
  <c r="N1215" i="2"/>
  <c r="AE1215" i="2" s="1"/>
  <c r="AP1214" i="2"/>
  <c r="AH1214" i="2"/>
  <c r="AF1214" i="2"/>
  <c r="AE1214" i="2"/>
  <c r="AC1214" i="2"/>
  <c r="AB1214" i="2"/>
  <c r="V1214" i="2"/>
  <c r="S1214" i="2"/>
  <c r="O1214" i="2"/>
  <c r="P1214" i="2" s="1"/>
  <c r="U1214" i="2" s="1"/>
  <c r="N1214" i="2"/>
  <c r="AI1214" i="2" s="1"/>
  <c r="AP1213" i="2"/>
  <c r="AC1213" i="2"/>
  <c r="AB1213" i="2"/>
  <c r="V1213" i="2"/>
  <c r="S1213" i="2"/>
  <c r="P1213" i="2"/>
  <c r="U1213" i="2" s="1"/>
  <c r="O1213" i="2"/>
  <c r="N1213" i="2"/>
  <c r="AP1212" i="2"/>
  <c r="AN1212" i="2"/>
  <c r="AH1212" i="2"/>
  <c r="AC1212" i="2"/>
  <c r="AB1212" i="2"/>
  <c r="S1212" i="2"/>
  <c r="P1212" i="2"/>
  <c r="U1212" i="2" s="1"/>
  <c r="O1212" i="2"/>
  <c r="V1212" i="2" s="1"/>
  <c r="N1212" i="2"/>
  <c r="AP1211" i="2"/>
  <c r="AC1211" i="2"/>
  <c r="AB1211" i="2"/>
  <c r="V1211" i="2"/>
  <c r="S1211" i="2"/>
  <c r="O1211" i="2"/>
  <c r="P1211" i="2" s="1"/>
  <c r="U1211" i="2" s="1"/>
  <c r="N1211" i="2"/>
  <c r="AP1210" i="2"/>
  <c r="AC1210" i="2"/>
  <c r="AB1210" i="2"/>
  <c r="S1210" i="2"/>
  <c r="O1210" i="2"/>
  <c r="P1210" i="2" s="1"/>
  <c r="U1210" i="2" s="1"/>
  <c r="AO1210" i="2" s="1"/>
  <c r="N1210" i="2"/>
  <c r="AP1209" i="2"/>
  <c r="AI1209" i="2"/>
  <c r="AH1209" i="2"/>
  <c r="AC1209" i="2"/>
  <c r="AB1209" i="2"/>
  <c r="S1209" i="2"/>
  <c r="O1209" i="2"/>
  <c r="N1209" i="2"/>
  <c r="AP1208" i="2"/>
  <c r="AI1208" i="2"/>
  <c r="AH1208" i="2"/>
  <c r="AG1208" i="2"/>
  <c r="AE1208" i="2"/>
  <c r="AC1208" i="2"/>
  <c r="AB1208" i="2"/>
  <c r="V1208" i="2"/>
  <c r="S1208" i="2"/>
  <c r="P1208" i="2"/>
  <c r="U1208" i="2" s="1"/>
  <c r="AO1208" i="2" s="1"/>
  <c r="O1208" i="2"/>
  <c r="N1208" i="2"/>
  <c r="AF1208" i="2" s="1"/>
  <c r="AP1207" i="2"/>
  <c r="AC1207" i="2"/>
  <c r="AB1207" i="2"/>
  <c r="S1207" i="2"/>
  <c r="O1207" i="2"/>
  <c r="AI1207" i="2" s="1"/>
  <c r="N1207" i="2"/>
  <c r="AP1206" i="2"/>
  <c r="AG1206" i="2"/>
  <c r="AC1206" i="2"/>
  <c r="AB1206" i="2"/>
  <c r="S1206" i="2"/>
  <c r="O1206" i="2"/>
  <c r="N1206" i="2"/>
  <c r="AI1206" i="2" s="1"/>
  <c r="AP1205" i="2"/>
  <c r="AC1205" i="2"/>
  <c r="AB1205" i="2"/>
  <c r="S1205" i="2"/>
  <c r="P1205" i="2"/>
  <c r="U1205" i="2" s="1"/>
  <c r="AO1205" i="2" s="1"/>
  <c r="O1205" i="2"/>
  <c r="N1205" i="2"/>
  <c r="AP1204" i="2"/>
  <c r="AC1204" i="2"/>
  <c r="AB1204" i="2"/>
  <c r="AG1204" i="2" s="1"/>
  <c r="S1204" i="2"/>
  <c r="P1204" i="2"/>
  <c r="U1204" i="2" s="1"/>
  <c r="AO1204" i="2" s="1"/>
  <c r="O1204" i="2"/>
  <c r="V1204" i="2" s="1"/>
  <c r="N1204" i="2"/>
  <c r="AF1204" i="2" s="1"/>
  <c r="AP1203" i="2"/>
  <c r="AC1203" i="2"/>
  <c r="AB1203" i="2"/>
  <c r="S1203" i="2"/>
  <c r="O1203" i="2"/>
  <c r="V1203" i="2" s="1"/>
  <c r="N1203" i="2"/>
  <c r="AP1202" i="2"/>
  <c r="AC1202" i="2"/>
  <c r="AB1202" i="2"/>
  <c r="S1202" i="2"/>
  <c r="P1202" i="2"/>
  <c r="U1202" i="2" s="1"/>
  <c r="AO1202" i="2" s="1"/>
  <c r="O1202" i="2"/>
  <c r="N1202" i="2"/>
  <c r="AP1201" i="2"/>
  <c r="AN1201" i="2"/>
  <c r="AC1201" i="2"/>
  <c r="AB1201" i="2"/>
  <c r="S1201" i="2"/>
  <c r="P1201" i="2"/>
  <c r="U1201" i="2" s="1"/>
  <c r="AO1201" i="2" s="1"/>
  <c r="O1201" i="2"/>
  <c r="V1201" i="2" s="1"/>
  <c r="N1201" i="2"/>
  <c r="AG1201" i="2" s="1"/>
  <c r="AP1200" i="2"/>
  <c r="AN1200" i="2"/>
  <c r="AC1200" i="2"/>
  <c r="AB1200" i="2"/>
  <c r="V1200" i="2"/>
  <c r="S1200" i="2"/>
  <c r="P1200" i="2"/>
  <c r="U1200" i="2" s="1"/>
  <c r="O1200" i="2"/>
  <c r="N1200" i="2"/>
  <c r="AH1200" i="2" s="1"/>
  <c r="AP1199" i="2"/>
  <c r="AN1199" i="2"/>
  <c r="AF1199" i="2"/>
  <c r="AC1199" i="2"/>
  <c r="AB1199" i="2"/>
  <c r="AH1199" i="2" s="1"/>
  <c r="V1199" i="2"/>
  <c r="S1199" i="2"/>
  <c r="O1199" i="2"/>
  <c r="P1199" i="2" s="1"/>
  <c r="U1199" i="2" s="1"/>
  <c r="N1199" i="2"/>
  <c r="AP1198" i="2"/>
  <c r="AN1198" i="2"/>
  <c r="AH1198" i="2"/>
  <c r="AC1198" i="2"/>
  <c r="AB1198" i="2"/>
  <c r="V1198" i="2"/>
  <c r="S1198" i="2"/>
  <c r="O1198" i="2"/>
  <c r="P1198" i="2" s="1"/>
  <c r="N1198" i="2"/>
  <c r="AP1197" i="2"/>
  <c r="AI1197" i="2"/>
  <c r="AC1197" i="2"/>
  <c r="AF1197" i="2" s="1"/>
  <c r="AB1197" i="2"/>
  <c r="V1197" i="2"/>
  <c r="S1197" i="2"/>
  <c r="P1197" i="2"/>
  <c r="U1197" i="2" s="1"/>
  <c r="O1197" i="2"/>
  <c r="N1197" i="2"/>
  <c r="AP1196" i="2"/>
  <c r="AN1196" i="2"/>
  <c r="AH1196" i="2"/>
  <c r="AG1196" i="2"/>
  <c r="AC1196" i="2"/>
  <c r="AB1196" i="2"/>
  <c r="S1196" i="2"/>
  <c r="P1196" i="2"/>
  <c r="U1196" i="2" s="1"/>
  <c r="O1196" i="2"/>
  <c r="N1196" i="2"/>
  <c r="AF1196" i="2" s="1"/>
  <c r="AP1195" i="2"/>
  <c r="AN1195" i="2"/>
  <c r="AC1195" i="2"/>
  <c r="AB1195" i="2"/>
  <c r="V1195" i="2"/>
  <c r="S1195" i="2"/>
  <c r="O1195" i="2"/>
  <c r="P1195" i="2" s="1"/>
  <c r="U1195" i="2" s="1"/>
  <c r="N1195" i="2"/>
  <c r="AI1195" i="2" s="1"/>
  <c r="AP1194" i="2"/>
  <c r="AN1194" i="2"/>
  <c r="AC1194" i="2"/>
  <c r="AB1194" i="2"/>
  <c r="S1194" i="2"/>
  <c r="O1194" i="2"/>
  <c r="P1194" i="2" s="1"/>
  <c r="U1194" i="2" s="1"/>
  <c r="N1194" i="2"/>
  <c r="AP1193" i="2"/>
  <c r="AN1193" i="2"/>
  <c r="AC1193" i="2"/>
  <c r="AB1193" i="2"/>
  <c r="S1193" i="2"/>
  <c r="P1193" i="2"/>
  <c r="U1193" i="2" s="1"/>
  <c r="O1193" i="2"/>
  <c r="AI1193" i="2" s="1"/>
  <c r="N1193" i="2"/>
  <c r="AH1193" i="2" s="1"/>
  <c r="AP1192" i="2"/>
  <c r="AN1192" i="2"/>
  <c r="AC1192" i="2"/>
  <c r="AB1192" i="2"/>
  <c r="S1192" i="2"/>
  <c r="O1192" i="2"/>
  <c r="V1192" i="2" s="1"/>
  <c r="N1192" i="2"/>
  <c r="AP1191" i="2"/>
  <c r="AN1191" i="2"/>
  <c r="AC1191" i="2"/>
  <c r="AB1191" i="2"/>
  <c r="S1191" i="2"/>
  <c r="O1191" i="2"/>
  <c r="P1191" i="2" s="1"/>
  <c r="U1191" i="2" s="1"/>
  <c r="N1191" i="2"/>
  <c r="AP1190" i="2"/>
  <c r="AN1190" i="2"/>
  <c r="AF1190" i="2"/>
  <c r="AC1190" i="2"/>
  <c r="AB1190" i="2"/>
  <c r="AI1190" i="2" s="1"/>
  <c r="S1190" i="2"/>
  <c r="O1190" i="2"/>
  <c r="V1190" i="2" s="1"/>
  <c r="N1190" i="2"/>
  <c r="AP1189" i="2"/>
  <c r="AN1189" i="2"/>
  <c r="AI1189" i="2"/>
  <c r="AH1189" i="2"/>
  <c r="AC1189" i="2"/>
  <c r="AB1189" i="2"/>
  <c r="S1189" i="2"/>
  <c r="O1189" i="2"/>
  <c r="V1189" i="2" s="1"/>
  <c r="N1189" i="2"/>
  <c r="AG1189" i="2" s="1"/>
  <c r="AP1188" i="2"/>
  <c r="AN1188" i="2"/>
  <c r="AI1188" i="2"/>
  <c r="AC1188" i="2"/>
  <c r="AG1188" i="2" s="1"/>
  <c r="AB1188" i="2"/>
  <c r="V1188" i="2"/>
  <c r="S1188" i="2"/>
  <c r="P1188" i="2"/>
  <c r="U1188" i="2" s="1"/>
  <c r="O1188" i="2"/>
  <c r="N1188" i="2"/>
  <c r="AP1187" i="2"/>
  <c r="AN1187" i="2"/>
  <c r="AG1187" i="2"/>
  <c r="AF1187" i="2"/>
  <c r="AC1187" i="2"/>
  <c r="AB1187" i="2"/>
  <c r="S1187" i="2"/>
  <c r="O1187" i="2"/>
  <c r="N1187" i="2"/>
  <c r="AP1186" i="2"/>
  <c r="AN1186" i="2"/>
  <c r="AC1186" i="2"/>
  <c r="AB1186" i="2"/>
  <c r="V1186" i="2"/>
  <c r="S1186" i="2"/>
  <c r="P1186" i="2"/>
  <c r="U1186" i="2" s="1"/>
  <c r="O1186" i="2"/>
  <c r="N1186" i="2"/>
  <c r="AI1186" i="2" s="1"/>
  <c r="AP1185" i="2"/>
  <c r="AN1185" i="2"/>
  <c r="AE1185" i="2"/>
  <c r="AC1185" i="2"/>
  <c r="AG1185" i="2" s="1"/>
  <c r="AB1185" i="2"/>
  <c r="AF1185" i="2" s="1"/>
  <c r="S1185" i="2"/>
  <c r="P1185" i="2"/>
  <c r="U1185" i="2" s="1"/>
  <c r="AO1185" i="2" s="1"/>
  <c r="O1185" i="2"/>
  <c r="N1185" i="2"/>
  <c r="V1185" i="2" s="1"/>
  <c r="AP1184" i="2"/>
  <c r="AN1184" i="2"/>
  <c r="AC1184" i="2"/>
  <c r="AB1184" i="2"/>
  <c r="S1184" i="2"/>
  <c r="O1184" i="2"/>
  <c r="V1184" i="2" s="1"/>
  <c r="N1184" i="2"/>
  <c r="AP1183" i="2"/>
  <c r="AN1183" i="2"/>
  <c r="AC1183" i="2"/>
  <c r="AB1183" i="2"/>
  <c r="AE1183" i="2" s="1"/>
  <c r="S1183" i="2"/>
  <c r="P1183" i="2"/>
  <c r="O1183" i="2"/>
  <c r="N1183" i="2"/>
  <c r="V1183" i="2" s="1"/>
  <c r="AP1182" i="2"/>
  <c r="AN1182" i="2"/>
  <c r="AC1182" i="2"/>
  <c r="AB1182" i="2"/>
  <c r="S1182" i="2"/>
  <c r="P1182" i="2"/>
  <c r="U1182" i="2" s="1"/>
  <c r="O1182" i="2"/>
  <c r="N1182" i="2"/>
  <c r="AP1181" i="2"/>
  <c r="AN1181" i="2"/>
  <c r="AE1181" i="2"/>
  <c r="AC1181" i="2"/>
  <c r="AB1181" i="2"/>
  <c r="V1181" i="2"/>
  <c r="S1181" i="2"/>
  <c r="O1181" i="2"/>
  <c r="P1181" i="2" s="1"/>
  <c r="U1181" i="2" s="1"/>
  <c r="N1181" i="2"/>
  <c r="AI1181" i="2" s="1"/>
  <c r="AP1180" i="2"/>
  <c r="AN1180" i="2"/>
  <c r="AH1180" i="2"/>
  <c r="AG1180" i="2"/>
  <c r="AC1180" i="2"/>
  <c r="AB1180" i="2"/>
  <c r="S1180" i="2"/>
  <c r="P1180" i="2"/>
  <c r="U1180" i="2" s="1"/>
  <c r="O1180" i="2"/>
  <c r="N1180" i="2"/>
  <c r="AF1180" i="2" s="1"/>
  <c r="AP1179" i="2"/>
  <c r="AN1179" i="2"/>
  <c r="AC1179" i="2"/>
  <c r="AB1179" i="2"/>
  <c r="V1179" i="2"/>
  <c r="S1179" i="2"/>
  <c r="O1179" i="2"/>
  <c r="P1179" i="2" s="1"/>
  <c r="U1179" i="2" s="1"/>
  <c r="N1179" i="2"/>
  <c r="AE1179" i="2" s="1"/>
  <c r="AP1178" i="2"/>
  <c r="AN1178" i="2"/>
  <c r="AC1178" i="2"/>
  <c r="AB1178" i="2"/>
  <c r="S1178" i="2"/>
  <c r="O1178" i="2"/>
  <c r="P1178" i="2" s="1"/>
  <c r="U1178" i="2" s="1"/>
  <c r="N1178" i="2"/>
  <c r="AF1178" i="2" s="1"/>
  <c r="AP1177" i="2"/>
  <c r="AN1177" i="2"/>
  <c r="AC1177" i="2"/>
  <c r="AB1177" i="2"/>
  <c r="V1177" i="2"/>
  <c r="S1177" i="2"/>
  <c r="P1177" i="2"/>
  <c r="U1177" i="2" s="1"/>
  <c r="O1177" i="2"/>
  <c r="AI1177" i="2" s="1"/>
  <c r="N1177" i="2"/>
  <c r="AH1177" i="2" s="1"/>
  <c r="AP1176" i="2"/>
  <c r="AN1176" i="2"/>
  <c r="AC1176" i="2"/>
  <c r="AB1176" i="2"/>
  <c r="S1176" i="2"/>
  <c r="O1176" i="2"/>
  <c r="V1176" i="2" s="1"/>
  <c r="N1176" i="2"/>
  <c r="AP1175" i="2"/>
  <c r="AN1175" i="2"/>
  <c r="AC1175" i="2"/>
  <c r="AB1175" i="2"/>
  <c r="S1175" i="2"/>
  <c r="O1175" i="2"/>
  <c r="P1175" i="2" s="1"/>
  <c r="U1175" i="2" s="1"/>
  <c r="N1175" i="2"/>
  <c r="AP1174" i="2"/>
  <c r="AN1174" i="2"/>
  <c r="AF1174" i="2"/>
  <c r="AC1174" i="2"/>
  <c r="AB1174" i="2"/>
  <c r="AI1174" i="2" s="1"/>
  <c r="S1174" i="2"/>
  <c r="O1174" i="2"/>
  <c r="V1174" i="2" s="1"/>
  <c r="N1174" i="2"/>
  <c r="AH1174" i="2" s="1"/>
  <c r="AP1173" i="2"/>
  <c r="AN1173" i="2"/>
  <c r="AI1173" i="2"/>
  <c r="AH1173" i="2"/>
  <c r="AC1173" i="2"/>
  <c r="AB1173" i="2"/>
  <c r="S1173" i="2"/>
  <c r="O1173" i="2"/>
  <c r="V1173" i="2" s="1"/>
  <c r="N1173" i="2"/>
  <c r="AG1173" i="2" s="1"/>
  <c r="AP1172" i="2"/>
  <c r="AN1172" i="2"/>
  <c r="AC1172" i="2"/>
  <c r="AB1172" i="2"/>
  <c r="V1172" i="2"/>
  <c r="S1172" i="2"/>
  <c r="P1172" i="2"/>
  <c r="U1172" i="2" s="1"/>
  <c r="O1172" i="2"/>
  <c r="N1172" i="2"/>
  <c r="AP1171" i="2"/>
  <c r="AN1171" i="2"/>
  <c r="AG1171" i="2"/>
  <c r="AF1171" i="2"/>
  <c r="AC1171" i="2"/>
  <c r="AB1171" i="2"/>
  <c r="S1171" i="2"/>
  <c r="O1171" i="2"/>
  <c r="N1171" i="2"/>
  <c r="AP1170" i="2"/>
  <c r="AN1170" i="2"/>
  <c r="AC1170" i="2"/>
  <c r="AB1170" i="2"/>
  <c r="V1170" i="2"/>
  <c r="S1170" i="2"/>
  <c r="P1170" i="2"/>
  <c r="U1170" i="2" s="1"/>
  <c r="O1170" i="2"/>
  <c r="N1170" i="2"/>
  <c r="AI1170" i="2" s="1"/>
  <c r="AP1169" i="2"/>
  <c r="AN1169" i="2"/>
  <c r="AC1169" i="2"/>
  <c r="AB1169" i="2"/>
  <c r="V1169" i="2"/>
  <c r="S1169" i="2"/>
  <c r="P1169" i="2"/>
  <c r="O1169" i="2"/>
  <c r="N1169" i="2"/>
  <c r="AP1168" i="2"/>
  <c r="AC1168" i="2"/>
  <c r="AB1168" i="2"/>
  <c r="S1168" i="2"/>
  <c r="O1168" i="2"/>
  <c r="V1168" i="2" s="1"/>
  <c r="N1168" i="2"/>
  <c r="AI1168" i="2" s="1"/>
  <c r="AP1167" i="2"/>
  <c r="AN1167" i="2"/>
  <c r="AC1167" i="2"/>
  <c r="AB1167" i="2"/>
  <c r="AG1167" i="2" s="1"/>
  <c r="V1167" i="2"/>
  <c r="S1167" i="2"/>
  <c r="P1167" i="2"/>
  <c r="O1167" i="2"/>
  <c r="N1167" i="2"/>
  <c r="AI1167" i="2" s="1"/>
  <c r="AP1166" i="2"/>
  <c r="AC1166" i="2"/>
  <c r="AB1166" i="2"/>
  <c r="S1166" i="2"/>
  <c r="O1166" i="2"/>
  <c r="V1166" i="2" s="1"/>
  <c r="N1166" i="2"/>
  <c r="AP1165" i="2"/>
  <c r="AN1165" i="2"/>
  <c r="AC1165" i="2"/>
  <c r="AB1165" i="2"/>
  <c r="AE1165" i="2" s="1"/>
  <c r="V1165" i="2"/>
  <c r="S1165" i="2"/>
  <c r="O1165" i="2"/>
  <c r="P1165" i="2" s="1"/>
  <c r="N1165" i="2"/>
  <c r="AP1164" i="2"/>
  <c r="AH1164" i="2"/>
  <c r="AG1164" i="2"/>
  <c r="AF1164" i="2"/>
  <c r="AC1164" i="2"/>
  <c r="AB1164" i="2"/>
  <c r="S1164" i="2"/>
  <c r="P1164" i="2"/>
  <c r="U1164" i="2" s="1"/>
  <c r="O1164" i="2"/>
  <c r="N1164" i="2"/>
  <c r="AI1164" i="2" s="1"/>
  <c r="AP1163" i="2"/>
  <c r="AC1163" i="2"/>
  <c r="AB1163" i="2"/>
  <c r="V1163" i="2"/>
  <c r="S1163" i="2"/>
  <c r="O1163" i="2"/>
  <c r="P1163" i="2" s="1"/>
  <c r="U1163" i="2" s="1"/>
  <c r="N1163" i="2"/>
  <c r="AP1162" i="2"/>
  <c r="AN1162" i="2"/>
  <c r="AC1162" i="2"/>
  <c r="AB1162" i="2"/>
  <c r="S1162" i="2"/>
  <c r="P1162" i="2"/>
  <c r="U1162" i="2" s="1"/>
  <c r="O1162" i="2"/>
  <c r="N1162" i="2"/>
  <c r="AP1161" i="2"/>
  <c r="AN1161" i="2"/>
  <c r="AC1161" i="2"/>
  <c r="AB1161" i="2"/>
  <c r="AE1161" i="2" s="1"/>
  <c r="S1161" i="2"/>
  <c r="O1161" i="2"/>
  <c r="N1161" i="2"/>
  <c r="AP1160" i="2"/>
  <c r="AN1160" i="2"/>
  <c r="AH1160" i="2"/>
  <c r="AF1160" i="2"/>
  <c r="AC1160" i="2"/>
  <c r="AB1160" i="2"/>
  <c r="AE1160" i="2" s="1"/>
  <c r="S1160" i="2"/>
  <c r="W1160" i="2" s="1"/>
  <c r="O1160" i="2"/>
  <c r="V1160" i="2" s="1"/>
  <c r="N1160" i="2"/>
  <c r="AI1160" i="2" s="1"/>
  <c r="AP1159" i="2"/>
  <c r="AI1159" i="2"/>
  <c r="AG1159" i="2"/>
  <c r="AC1159" i="2"/>
  <c r="AB1159" i="2"/>
  <c r="S1159" i="2"/>
  <c r="P1159" i="2"/>
  <c r="U1159" i="2" s="1"/>
  <c r="O1159" i="2"/>
  <c r="V1159" i="2" s="1"/>
  <c r="N1159" i="2"/>
  <c r="AP1158" i="2"/>
  <c r="AN1158" i="2"/>
  <c r="AC1158" i="2"/>
  <c r="AB1158" i="2"/>
  <c r="S1158" i="2"/>
  <c r="W1158" i="2" s="1"/>
  <c r="X1158" i="2" s="1"/>
  <c r="O1158" i="2"/>
  <c r="V1158" i="2" s="1"/>
  <c r="N1158" i="2"/>
  <c r="AP1157" i="2"/>
  <c r="AN1157" i="2"/>
  <c r="AI1157" i="2"/>
  <c r="AC1157" i="2"/>
  <c r="AB1157" i="2"/>
  <c r="S1157" i="2"/>
  <c r="O1157" i="2"/>
  <c r="N1157" i="2"/>
  <c r="AF1157" i="2" s="1"/>
  <c r="AP1156" i="2"/>
  <c r="AI1156" i="2"/>
  <c r="AC1156" i="2"/>
  <c r="AG1156" i="2" s="1"/>
  <c r="AB1156" i="2"/>
  <c r="V1156" i="2"/>
  <c r="U1156" i="2"/>
  <c r="S1156" i="2"/>
  <c r="P1156" i="2"/>
  <c r="O1156" i="2"/>
  <c r="N1156" i="2"/>
  <c r="AP1155" i="2"/>
  <c r="AH1155" i="2"/>
  <c r="AG1155" i="2"/>
  <c r="AC1155" i="2"/>
  <c r="AB1155" i="2"/>
  <c r="AI1155" i="2" s="1"/>
  <c r="S1155" i="2"/>
  <c r="O1155" i="2"/>
  <c r="N1155" i="2"/>
  <c r="AP1154" i="2"/>
  <c r="AN1154" i="2"/>
  <c r="AG1154" i="2"/>
  <c r="AC1154" i="2"/>
  <c r="AB1154" i="2"/>
  <c r="V1154" i="2"/>
  <c r="S1154" i="2"/>
  <c r="P1154" i="2"/>
  <c r="U1154" i="2" s="1"/>
  <c r="O1154" i="2"/>
  <c r="N1154" i="2"/>
  <c r="AE1154" i="2" s="1"/>
  <c r="AP1153" i="2"/>
  <c r="AN1153" i="2"/>
  <c r="AI1153" i="2"/>
  <c r="AG1153" i="2"/>
  <c r="AC1153" i="2"/>
  <c r="AB1153" i="2"/>
  <c r="AF1153" i="2" s="1"/>
  <c r="V1153" i="2"/>
  <c r="S1153" i="2"/>
  <c r="P1153" i="2"/>
  <c r="U1153" i="2" s="1"/>
  <c r="O1153" i="2"/>
  <c r="N1153" i="2"/>
  <c r="AP1152" i="2"/>
  <c r="AC1152" i="2"/>
  <c r="AB1152" i="2"/>
  <c r="S1152" i="2"/>
  <c r="P1152" i="2"/>
  <c r="O1152" i="2"/>
  <c r="N1152" i="2"/>
  <c r="AP1151" i="2"/>
  <c r="AN1151" i="2"/>
  <c r="AC1151" i="2"/>
  <c r="AB1151" i="2"/>
  <c r="V1151" i="2"/>
  <c r="S1151" i="2"/>
  <c r="P1151" i="2"/>
  <c r="U1151" i="2" s="1"/>
  <c r="O1151" i="2"/>
  <c r="N1151" i="2"/>
  <c r="AG1151" i="2" s="1"/>
  <c r="AP1150" i="2"/>
  <c r="AN1150" i="2"/>
  <c r="AC1150" i="2"/>
  <c r="AB1150" i="2"/>
  <c r="S1150" i="2"/>
  <c r="O1150" i="2"/>
  <c r="N1150" i="2"/>
  <c r="AI1150" i="2" s="1"/>
  <c r="AP1149" i="2"/>
  <c r="AN1149" i="2"/>
  <c r="AC1149" i="2"/>
  <c r="AB1149" i="2"/>
  <c r="S1149" i="2"/>
  <c r="O1149" i="2"/>
  <c r="P1149" i="2" s="1"/>
  <c r="N1149" i="2"/>
  <c r="AP1148" i="2"/>
  <c r="AN1148" i="2"/>
  <c r="AI1148" i="2"/>
  <c r="AH1148" i="2"/>
  <c r="AG1148" i="2"/>
  <c r="AF1148" i="2"/>
  <c r="AC1148" i="2"/>
  <c r="AB1148" i="2"/>
  <c r="V1148" i="2"/>
  <c r="S1148" i="2"/>
  <c r="W1148" i="2" s="1"/>
  <c r="P1148" i="2"/>
  <c r="U1148" i="2" s="1"/>
  <c r="O1148" i="2"/>
  <c r="N1148" i="2"/>
  <c r="AE1148" i="2" s="1"/>
  <c r="AP1147" i="2"/>
  <c r="AN1147" i="2"/>
  <c r="AH1147" i="2"/>
  <c r="AE1147" i="2"/>
  <c r="AC1147" i="2"/>
  <c r="AB1147" i="2"/>
  <c r="S1147" i="2"/>
  <c r="O1147" i="2"/>
  <c r="P1147" i="2" s="1"/>
  <c r="U1147" i="2" s="1"/>
  <c r="N1147" i="2"/>
  <c r="AP1146" i="2"/>
  <c r="AN1146" i="2"/>
  <c r="AC1146" i="2"/>
  <c r="AH1146" i="2" s="1"/>
  <c r="AB1146" i="2"/>
  <c r="V1146" i="2"/>
  <c r="S1146" i="2"/>
  <c r="P1146" i="2"/>
  <c r="U1146" i="2" s="1"/>
  <c r="O1146" i="2"/>
  <c r="N1146" i="2"/>
  <c r="AI1146" i="2" s="1"/>
  <c r="AP1145" i="2"/>
  <c r="AC1145" i="2"/>
  <c r="AF1145" i="2" s="1"/>
  <c r="AB1145" i="2"/>
  <c r="S1145" i="2"/>
  <c r="O1145" i="2"/>
  <c r="V1145" i="2" s="1"/>
  <c r="N1145" i="2"/>
  <c r="AP1144" i="2"/>
  <c r="AC1144" i="2"/>
  <c r="AB1144" i="2"/>
  <c r="S1144" i="2"/>
  <c r="O1144" i="2"/>
  <c r="N1144" i="2"/>
  <c r="AP1143" i="2"/>
  <c r="AN1143" i="2"/>
  <c r="AC1143" i="2"/>
  <c r="AB1143" i="2"/>
  <c r="S1143" i="2"/>
  <c r="P1143" i="2"/>
  <c r="O1143" i="2"/>
  <c r="N1143" i="2"/>
  <c r="V1143" i="2" s="1"/>
  <c r="AP1142" i="2"/>
  <c r="AN1142" i="2"/>
  <c r="AC1142" i="2"/>
  <c r="AB1142" i="2"/>
  <c r="S1142" i="2"/>
  <c r="O1142" i="2"/>
  <c r="N1142" i="2"/>
  <c r="AP1141" i="2"/>
  <c r="AH1141" i="2"/>
  <c r="AG1141" i="2"/>
  <c r="AC1141" i="2"/>
  <c r="AB1141" i="2"/>
  <c r="AE1141" i="2" s="1"/>
  <c r="S1141" i="2"/>
  <c r="O1141" i="2"/>
  <c r="V1141" i="2" s="1"/>
  <c r="N1141" i="2"/>
  <c r="AI1141" i="2" s="1"/>
  <c r="AP1140" i="2"/>
  <c r="AI1140" i="2"/>
  <c r="AH1140" i="2"/>
  <c r="AG1140" i="2"/>
  <c r="AE1140" i="2"/>
  <c r="AC1140" i="2"/>
  <c r="AB1140" i="2"/>
  <c r="V1140" i="2"/>
  <c r="S1140" i="2"/>
  <c r="O1140" i="2"/>
  <c r="P1140" i="2" s="1"/>
  <c r="U1140" i="2" s="1"/>
  <c r="N1140" i="2"/>
  <c r="AF1140" i="2" s="1"/>
  <c r="AP1139" i="2"/>
  <c r="AN1139" i="2"/>
  <c r="AI1139" i="2"/>
  <c r="AF1139" i="2"/>
  <c r="AE1139" i="2"/>
  <c r="AC1139" i="2"/>
  <c r="AB1139" i="2"/>
  <c r="V1139" i="2"/>
  <c r="S1139" i="2"/>
  <c r="P1139" i="2"/>
  <c r="U1139" i="2" s="1"/>
  <c r="O1139" i="2"/>
  <c r="N1139" i="2"/>
  <c r="AH1139" i="2" s="1"/>
  <c r="AP1138" i="2"/>
  <c r="AN1138" i="2"/>
  <c r="AG1138" i="2"/>
  <c r="AF1138" i="2"/>
  <c r="AE1138" i="2"/>
  <c r="AC1138" i="2"/>
  <c r="AB1138" i="2"/>
  <c r="AH1138" i="2" s="1"/>
  <c r="S1138" i="2"/>
  <c r="P1138" i="2"/>
  <c r="U1138" i="2" s="1"/>
  <c r="O1138" i="2"/>
  <c r="N1138" i="2"/>
  <c r="V1138" i="2" s="1"/>
  <c r="AP1137" i="2"/>
  <c r="AN1137" i="2"/>
  <c r="AC1137" i="2"/>
  <c r="AB1137" i="2"/>
  <c r="S1137" i="2"/>
  <c r="P1137" i="2"/>
  <c r="U1137" i="2" s="1"/>
  <c r="O1137" i="2"/>
  <c r="N1137" i="2"/>
  <c r="AI1137" i="2" s="1"/>
  <c r="AP1136" i="2"/>
  <c r="AC1136" i="2"/>
  <c r="AB1136" i="2"/>
  <c r="AE1136" i="2" s="1"/>
  <c r="S1136" i="2"/>
  <c r="W1136" i="2" s="1"/>
  <c r="O1136" i="2"/>
  <c r="V1136" i="2" s="1"/>
  <c r="N1136" i="2"/>
  <c r="AP1135" i="2"/>
  <c r="AC1135" i="2"/>
  <c r="AB1135" i="2"/>
  <c r="S1135" i="2"/>
  <c r="P1135" i="2"/>
  <c r="U1135" i="2" s="1"/>
  <c r="O1135" i="2"/>
  <c r="N1135" i="2"/>
  <c r="AP1134" i="2"/>
  <c r="AC1134" i="2"/>
  <c r="AB1134" i="2"/>
  <c r="V1134" i="2"/>
  <c r="S1134" i="2"/>
  <c r="P1134" i="2"/>
  <c r="O1134" i="2"/>
  <c r="N1134" i="2"/>
  <c r="AP1133" i="2"/>
  <c r="AI1133" i="2"/>
  <c r="AH1133" i="2"/>
  <c r="AC1133" i="2"/>
  <c r="AB1133" i="2"/>
  <c r="V1133" i="2"/>
  <c r="S1133" i="2"/>
  <c r="O1133" i="2"/>
  <c r="P1133" i="2" s="1"/>
  <c r="U1133" i="2" s="1"/>
  <c r="N1133" i="2"/>
  <c r="AP1132" i="2"/>
  <c r="AN1132" i="2"/>
  <c r="AG1132" i="2"/>
  <c r="AF1132" i="2"/>
  <c r="AC1132" i="2"/>
  <c r="AB1132" i="2"/>
  <c r="V1132" i="2"/>
  <c r="S1132" i="2"/>
  <c r="O1132" i="2"/>
  <c r="P1132" i="2" s="1"/>
  <c r="U1132" i="2" s="1"/>
  <c r="N1132" i="2"/>
  <c r="AI1132" i="2" s="1"/>
  <c r="AP1131" i="2"/>
  <c r="AH1131" i="2"/>
  <c r="AG1131" i="2"/>
  <c r="AF1131" i="2"/>
  <c r="AC1131" i="2"/>
  <c r="AI1131" i="2" s="1"/>
  <c r="AB1131" i="2"/>
  <c r="S1131" i="2"/>
  <c r="O1131" i="2"/>
  <c r="V1131" i="2" s="1"/>
  <c r="N1131" i="2"/>
  <c r="AE1131" i="2" s="1"/>
  <c r="AP1130" i="2"/>
  <c r="AC1130" i="2"/>
  <c r="AB1130" i="2"/>
  <c r="V1130" i="2"/>
  <c r="S1130" i="2"/>
  <c r="O1130" i="2"/>
  <c r="N1130" i="2"/>
  <c r="AP1129" i="2"/>
  <c r="AC1129" i="2"/>
  <c r="AB1129" i="2"/>
  <c r="S1129" i="2"/>
  <c r="O1129" i="2"/>
  <c r="N1129" i="2"/>
  <c r="AP1128" i="2"/>
  <c r="AI1128" i="2"/>
  <c r="AC1128" i="2"/>
  <c r="AB1128" i="2"/>
  <c r="AH1128" i="2" s="1"/>
  <c r="S1128" i="2"/>
  <c r="O1128" i="2"/>
  <c r="V1128" i="2" s="1"/>
  <c r="N1128" i="2"/>
  <c r="AP1127" i="2"/>
  <c r="AN1127" i="2"/>
  <c r="AC1127" i="2"/>
  <c r="AB1127" i="2"/>
  <c r="S1127" i="2"/>
  <c r="P1127" i="2"/>
  <c r="O1127" i="2"/>
  <c r="N1127" i="2"/>
  <c r="V1127" i="2" s="1"/>
  <c r="AP1126" i="2"/>
  <c r="AN1126" i="2"/>
  <c r="AC1126" i="2"/>
  <c r="AB1126" i="2"/>
  <c r="S1126" i="2"/>
  <c r="O1126" i="2"/>
  <c r="N1126" i="2"/>
  <c r="AG1126" i="2" s="1"/>
  <c r="AP1125" i="2"/>
  <c r="AN1125" i="2"/>
  <c r="AH1125" i="2"/>
  <c r="AG1125" i="2"/>
  <c r="AC1125" i="2"/>
  <c r="AB1125" i="2"/>
  <c r="S1125" i="2"/>
  <c r="O1125" i="2"/>
  <c r="V1125" i="2" s="1"/>
  <c r="N1125" i="2"/>
  <c r="AI1125" i="2" s="1"/>
  <c r="AP1124" i="2"/>
  <c r="AI1124" i="2"/>
  <c r="AH1124" i="2"/>
  <c r="AG1124" i="2"/>
  <c r="AE1124" i="2"/>
  <c r="AC1124" i="2"/>
  <c r="AB1124" i="2"/>
  <c r="V1124" i="2"/>
  <c r="S1124" i="2"/>
  <c r="P1124" i="2"/>
  <c r="U1124" i="2" s="1"/>
  <c r="O1124" i="2"/>
  <c r="N1124" i="2"/>
  <c r="AF1124" i="2" s="1"/>
  <c r="AP1123" i="2"/>
  <c r="AI1123" i="2"/>
  <c r="AF1123" i="2"/>
  <c r="AE1123" i="2"/>
  <c r="AC1123" i="2"/>
  <c r="AB1123" i="2"/>
  <c r="V1123" i="2"/>
  <c r="S1123" i="2"/>
  <c r="P1123" i="2"/>
  <c r="U1123" i="2" s="1"/>
  <c r="O1123" i="2"/>
  <c r="N1123" i="2"/>
  <c r="AH1123" i="2" s="1"/>
  <c r="AP1122" i="2"/>
  <c r="AN1122" i="2"/>
  <c r="AG1122" i="2"/>
  <c r="AF1122" i="2"/>
  <c r="AC1122" i="2"/>
  <c r="AB1122" i="2"/>
  <c r="AH1122" i="2" s="1"/>
  <c r="S1122" i="2"/>
  <c r="P1122" i="2"/>
  <c r="U1122" i="2" s="1"/>
  <c r="O1122" i="2"/>
  <c r="N1122" i="2"/>
  <c r="V1122" i="2" s="1"/>
  <c r="AP1121" i="2"/>
  <c r="AC1121" i="2"/>
  <c r="AB1121" i="2"/>
  <c r="S1121" i="2"/>
  <c r="P1121" i="2"/>
  <c r="U1121" i="2" s="1"/>
  <c r="O1121" i="2"/>
  <c r="N1121" i="2"/>
  <c r="AP1120" i="2"/>
  <c r="AC1120" i="2"/>
  <c r="AB1120" i="2"/>
  <c r="S1120" i="2"/>
  <c r="O1120" i="2"/>
  <c r="N1120" i="2"/>
  <c r="AP1119" i="2"/>
  <c r="AN1119" i="2"/>
  <c r="AC1119" i="2"/>
  <c r="AB1119" i="2"/>
  <c r="S1119" i="2"/>
  <c r="O1119" i="2"/>
  <c r="V1119" i="2" s="1"/>
  <c r="N1119" i="2"/>
  <c r="AP1118" i="2"/>
  <c r="AI1118" i="2"/>
  <c r="AH1118" i="2"/>
  <c r="AC1118" i="2"/>
  <c r="AB1118" i="2"/>
  <c r="V1118" i="2"/>
  <c r="S1118" i="2"/>
  <c r="P1118" i="2"/>
  <c r="U1118" i="2" s="1"/>
  <c r="O1118" i="2"/>
  <c r="N1118" i="2"/>
  <c r="AP1117" i="2"/>
  <c r="AI1117" i="2"/>
  <c r="AH1117" i="2"/>
  <c r="AF1117" i="2"/>
  <c r="AC1117" i="2"/>
  <c r="AB1117" i="2"/>
  <c r="S1117" i="2"/>
  <c r="O1117" i="2"/>
  <c r="P1117" i="2" s="1"/>
  <c r="U1117" i="2" s="1"/>
  <c r="N1117" i="2"/>
  <c r="AP1116" i="2"/>
  <c r="AN1116" i="2"/>
  <c r="AG1116" i="2"/>
  <c r="AF1116" i="2"/>
  <c r="AC1116" i="2"/>
  <c r="AB1116" i="2"/>
  <c r="V1116" i="2"/>
  <c r="S1116" i="2"/>
  <c r="O1116" i="2"/>
  <c r="P1116" i="2" s="1"/>
  <c r="U1116" i="2" s="1"/>
  <c r="N1116" i="2"/>
  <c r="AI1116" i="2" s="1"/>
  <c r="AP1115" i="2"/>
  <c r="AC1115" i="2"/>
  <c r="AI1115" i="2" s="1"/>
  <c r="AB1115" i="2"/>
  <c r="S1115" i="2"/>
  <c r="O1115" i="2"/>
  <c r="V1115" i="2" s="1"/>
  <c r="N1115" i="2"/>
  <c r="AE1115" i="2" s="1"/>
  <c r="AP1114" i="2"/>
  <c r="AC1114" i="2"/>
  <c r="AE1114" i="2" s="1"/>
  <c r="AB1114" i="2"/>
  <c r="S1114" i="2"/>
  <c r="O1114" i="2"/>
  <c r="N1114" i="2"/>
  <c r="AP1113" i="2"/>
  <c r="AN1113" i="2"/>
  <c r="AF1113" i="2"/>
  <c r="AC1113" i="2"/>
  <c r="AE1113" i="2" s="1"/>
  <c r="AB1113" i="2"/>
  <c r="S1113" i="2"/>
  <c r="P1113" i="2"/>
  <c r="U1113" i="2" s="1"/>
  <c r="O1113" i="2"/>
  <c r="N1113" i="2"/>
  <c r="AP1112" i="2"/>
  <c r="AC1112" i="2"/>
  <c r="AB1112" i="2"/>
  <c r="S1112" i="2"/>
  <c r="O1112" i="2"/>
  <c r="V1112" i="2" s="1"/>
  <c r="N1112" i="2"/>
  <c r="AP1111" i="2"/>
  <c r="AC1111" i="2"/>
  <c r="AB1111" i="2"/>
  <c r="S1111" i="2"/>
  <c r="P1111" i="2"/>
  <c r="O1111" i="2"/>
  <c r="V1111" i="2" s="1"/>
  <c r="N1111" i="2"/>
  <c r="AP1110" i="2"/>
  <c r="AN1110" i="2"/>
  <c r="AG1110" i="2"/>
  <c r="AC1110" i="2"/>
  <c r="AB1110" i="2"/>
  <c r="S1110" i="2"/>
  <c r="O1110" i="2"/>
  <c r="N1110" i="2"/>
  <c r="AP1109" i="2"/>
  <c r="AH1109" i="2"/>
  <c r="AG1109" i="2"/>
  <c r="AC1109" i="2"/>
  <c r="AB1109" i="2"/>
  <c r="S1109" i="2"/>
  <c r="O1109" i="2"/>
  <c r="V1109" i="2" s="1"/>
  <c r="N1109" i="2"/>
  <c r="AI1109" i="2" s="1"/>
  <c r="AP1108" i="2"/>
  <c r="AN1108" i="2"/>
  <c r="AI1108" i="2"/>
  <c r="AH1108" i="2"/>
  <c r="AG1108" i="2"/>
  <c r="AE1108" i="2"/>
  <c r="AC1108" i="2"/>
  <c r="AB1108" i="2"/>
  <c r="V1108" i="2"/>
  <c r="S1108" i="2"/>
  <c r="P1108" i="2"/>
  <c r="U1108" i="2" s="1"/>
  <c r="O1108" i="2"/>
  <c r="N1108" i="2"/>
  <c r="AF1108" i="2" s="1"/>
  <c r="AP1107" i="2"/>
  <c r="AI1107" i="2"/>
  <c r="AF1107" i="2"/>
  <c r="AE1107" i="2"/>
  <c r="AC1107" i="2"/>
  <c r="AB1107" i="2"/>
  <c r="V1107" i="2"/>
  <c r="S1107" i="2"/>
  <c r="P1107" i="2"/>
  <c r="U1107" i="2" s="1"/>
  <c r="O1107" i="2"/>
  <c r="N1107" i="2"/>
  <c r="AH1107" i="2" s="1"/>
  <c r="AP1106" i="2"/>
  <c r="AN1106" i="2"/>
  <c r="AG1106" i="2"/>
  <c r="AF1106" i="2"/>
  <c r="AE1106" i="2"/>
  <c r="AC1106" i="2"/>
  <c r="AB1106" i="2"/>
  <c r="AH1106" i="2" s="1"/>
  <c r="S1106" i="2"/>
  <c r="P1106" i="2"/>
  <c r="U1106" i="2" s="1"/>
  <c r="AO1106" i="2" s="1"/>
  <c r="O1106" i="2"/>
  <c r="N1106" i="2"/>
  <c r="V1106" i="2" s="1"/>
  <c r="AP1105" i="2"/>
  <c r="AC1105" i="2"/>
  <c r="AB1105" i="2"/>
  <c r="AG1105" i="2" s="1"/>
  <c r="S1105" i="2"/>
  <c r="P1105" i="2"/>
  <c r="O1105" i="2"/>
  <c r="N1105" i="2"/>
  <c r="AP1104" i="2"/>
  <c r="AC1104" i="2"/>
  <c r="AB1104" i="2"/>
  <c r="S1104" i="2"/>
  <c r="O1104" i="2"/>
  <c r="N1104" i="2"/>
  <c r="AP1103" i="2"/>
  <c r="AN1103" i="2"/>
  <c r="AC1103" i="2"/>
  <c r="AB1103" i="2"/>
  <c r="S1103" i="2"/>
  <c r="O1103" i="2"/>
  <c r="N1103" i="2"/>
  <c r="AP1102" i="2"/>
  <c r="AC1102" i="2"/>
  <c r="AB1102" i="2"/>
  <c r="V1102" i="2"/>
  <c r="S1102" i="2"/>
  <c r="P1102" i="2"/>
  <c r="O1102" i="2"/>
  <c r="N1102" i="2"/>
  <c r="AP1101" i="2"/>
  <c r="AN1101" i="2"/>
  <c r="AC1101" i="2"/>
  <c r="AB1101" i="2"/>
  <c r="S1101" i="2"/>
  <c r="O1101" i="2"/>
  <c r="P1101" i="2" s="1"/>
  <c r="N1101" i="2"/>
  <c r="AP1100" i="2"/>
  <c r="AG1100" i="2"/>
  <c r="AC1100" i="2"/>
  <c r="AB1100" i="2"/>
  <c r="S1100" i="2"/>
  <c r="O1100" i="2"/>
  <c r="P1100" i="2" s="1"/>
  <c r="U1100" i="2" s="1"/>
  <c r="AO1100" i="2" s="1"/>
  <c r="N1100" i="2"/>
  <c r="AP1099" i="2"/>
  <c r="AI1099" i="2"/>
  <c r="AH1099" i="2"/>
  <c r="AG1099" i="2"/>
  <c r="AF1099" i="2"/>
  <c r="AC1099" i="2"/>
  <c r="AB1099" i="2"/>
  <c r="S1099" i="2"/>
  <c r="O1099" i="2"/>
  <c r="V1099" i="2" s="1"/>
  <c r="N1099" i="2"/>
  <c r="AE1099" i="2" s="1"/>
  <c r="AP1098" i="2"/>
  <c r="AH1098" i="2"/>
  <c r="AE1098" i="2"/>
  <c r="AC1098" i="2"/>
  <c r="AB1098" i="2"/>
  <c r="S1098" i="2"/>
  <c r="O1098" i="2"/>
  <c r="N1098" i="2"/>
  <c r="AP1097" i="2"/>
  <c r="AC1097" i="2"/>
  <c r="AB1097" i="2"/>
  <c r="V1097" i="2"/>
  <c r="S1097" i="2"/>
  <c r="P1097" i="2"/>
  <c r="U1097" i="2" s="1"/>
  <c r="AO1097" i="2" s="1"/>
  <c r="O1097" i="2"/>
  <c r="N1097" i="2"/>
  <c r="AP1096" i="2"/>
  <c r="AI1096" i="2"/>
  <c r="AG1096" i="2"/>
  <c r="AC1096" i="2"/>
  <c r="AB1096" i="2"/>
  <c r="AE1096" i="2" s="1"/>
  <c r="S1096" i="2"/>
  <c r="O1096" i="2"/>
  <c r="V1096" i="2" s="1"/>
  <c r="N1096" i="2"/>
  <c r="AP1095" i="2"/>
  <c r="AC1095" i="2"/>
  <c r="AB1095" i="2"/>
  <c r="S1095" i="2"/>
  <c r="P1095" i="2"/>
  <c r="U1095" i="2" s="1"/>
  <c r="AO1095" i="2" s="1"/>
  <c r="O1095" i="2"/>
  <c r="N1095" i="2"/>
  <c r="AP1094" i="2"/>
  <c r="AC1094" i="2"/>
  <c r="AB1094" i="2"/>
  <c r="S1094" i="2"/>
  <c r="O1094" i="2"/>
  <c r="V1094" i="2" s="1"/>
  <c r="N1094" i="2"/>
  <c r="AP1093" i="2"/>
  <c r="AC1093" i="2"/>
  <c r="AB1093" i="2"/>
  <c r="S1093" i="2"/>
  <c r="P1093" i="2"/>
  <c r="U1093" i="2" s="1"/>
  <c r="AO1093" i="2" s="1"/>
  <c r="O1093" i="2"/>
  <c r="N1093" i="2"/>
  <c r="AP1092" i="2"/>
  <c r="AI1092" i="2"/>
  <c r="AH1092" i="2"/>
  <c r="AC1092" i="2"/>
  <c r="AB1092" i="2"/>
  <c r="V1092" i="2"/>
  <c r="S1092" i="2"/>
  <c r="P1092" i="2"/>
  <c r="U1092" i="2" s="1"/>
  <c r="AO1092" i="2" s="1"/>
  <c r="O1092" i="2"/>
  <c r="N1092" i="2"/>
  <c r="AF1092" i="2" s="1"/>
  <c r="AP1091" i="2"/>
  <c r="AC1091" i="2"/>
  <c r="AB1091" i="2"/>
  <c r="V1091" i="2"/>
  <c r="S1091" i="2"/>
  <c r="P1091" i="2"/>
  <c r="O1091" i="2"/>
  <c r="N1091" i="2"/>
  <c r="AP1090" i="2"/>
  <c r="AI1090" i="2"/>
  <c r="AC1090" i="2"/>
  <c r="AB1090" i="2"/>
  <c r="S1090" i="2"/>
  <c r="P1090" i="2"/>
  <c r="O1090" i="2"/>
  <c r="V1090" i="2" s="1"/>
  <c r="N1090" i="2"/>
  <c r="AH1090" i="2" s="1"/>
  <c r="AP1089" i="2"/>
  <c r="AN1089" i="2"/>
  <c r="AI1089" i="2"/>
  <c r="AE1089" i="2"/>
  <c r="AC1089" i="2"/>
  <c r="AB1089" i="2"/>
  <c r="V1089" i="2"/>
  <c r="S1089" i="2"/>
  <c r="O1089" i="2"/>
  <c r="P1089" i="2" s="1"/>
  <c r="U1089" i="2" s="1"/>
  <c r="N1089" i="2"/>
  <c r="AH1089" i="2" s="1"/>
  <c r="AP1088" i="2"/>
  <c r="AN1088" i="2"/>
  <c r="AG1088" i="2"/>
  <c r="AF1088" i="2"/>
  <c r="AC1088" i="2"/>
  <c r="AB1088" i="2"/>
  <c r="S1088" i="2"/>
  <c r="P1088" i="2"/>
  <c r="U1088" i="2" s="1"/>
  <c r="O1088" i="2"/>
  <c r="N1088" i="2"/>
  <c r="AE1088" i="2" s="1"/>
  <c r="AP1087" i="2"/>
  <c r="AN1087" i="2"/>
  <c r="AG1087" i="2"/>
  <c r="AC1087" i="2"/>
  <c r="AB1087" i="2"/>
  <c r="AI1087" i="2" s="1"/>
  <c r="V1087" i="2"/>
  <c r="S1087" i="2"/>
  <c r="P1087" i="2"/>
  <c r="U1087" i="2" s="1"/>
  <c r="O1087" i="2"/>
  <c r="N1087" i="2"/>
  <c r="AE1087" i="2" s="1"/>
  <c r="AP1086" i="2"/>
  <c r="AN1086" i="2"/>
  <c r="AC1086" i="2"/>
  <c r="AE1086" i="2" s="1"/>
  <c r="AB1086" i="2"/>
  <c r="S1086" i="2"/>
  <c r="O1086" i="2"/>
  <c r="P1086" i="2" s="1"/>
  <c r="U1086" i="2" s="1"/>
  <c r="N1086" i="2"/>
  <c r="V1086" i="2" s="1"/>
  <c r="AP1085" i="2"/>
  <c r="AN1085" i="2"/>
  <c r="AC1085" i="2"/>
  <c r="AB1085" i="2"/>
  <c r="S1085" i="2"/>
  <c r="P1085" i="2"/>
  <c r="U1085" i="2" s="1"/>
  <c r="O1085" i="2"/>
  <c r="N1085" i="2"/>
  <c r="AI1085" i="2" s="1"/>
  <c r="AP1084" i="2"/>
  <c r="AN1084" i="2"/>
  <c r="AC1084" i="2"/>
  <c r="AB1084" i="2"/>
  <c r="S1084" i="2"/>
  <c r="P1084" i="2"/>
  <c r="U1084" i="2" s="1"/>
  <c r="O1084" i="2"/>
  <c r="V1084" i="2" s="1"/>
  <c r="N1084" i="2"/>
  <c r="AP1083" i="2"/>
  <c r="AN1083" i="2"/>
  <c r="AI1083" i="2"/>
  <c r="AC1083" i="2"/>
  <c r="AB1083" i="2"/>
  <c r="S1083" i="2"/>
  <c r="P1083" i="2"/>
  <c r="O1083" i="2"/>
  <c r="N1083" i="2"/>
  <c r="AP1082" i="2"/>
  <c r="AN1082" i="2"/>
  <c r="AC1082" i="2"/>
  <c r="AB1082" i="2"/>
  <c r="S1082" i="2"/>
  <c r="O1082" i="2"/>
  <c r="N1082" i="2"/>
  <c r="AP1081" i="2"/>
  <c r="AN1081" i="2"/>
  <c r="AH1081" i="2"/>
  <c r="AG1081" i="2"/>
  <c r="AC1081" i="2"/>
  <c r="AB1081" i="2"/>
  <c r="S1081" i="2"/>
  <c r="O1081" i="2"/>
  <c r="V1081" i="2" s="1"/>
  <c r="N1081" i="2"/>
  <c r="AF1081" i="2" s="1"/>
  <c r="AP1080" i="2"/>
  <c r="AN1080" i="2"/>
  <c r="AI1080" i="2"/>
  <c r="AH1080" i="2"/>
  <c r="AC1080" i="2"/>
  <c r="AG1080" i="2" s="1"/>
  <c r="AB1080" i="2"/>
  <c r="V1080" i="2"/>
  <c r="S1080" i="2"/>
  <c r="P1080" i="2"/>
  <c r="U1080" i="2" s="1"/>
  <c r="O1080" i="2"/>
  <c r="N1080" i="2"/>
  <c r="AF1080" i="2" s="1"/>
  <c r="AP1079" i="2"/>
  <c r="AN1079" i="2"/>
  <c r="AI1079" i="2"/>
  <c r="AF1079" i="2"/>
  <c r="AE1079" i="2"/>
  <c r="AC1079" i="2"/>
  <c r="AB1079" i="2"/>
  <c r="V1079" i="2"/>
  <c r="S1079" i="2"/>
  <c r="O1079" i="2"/>
  <c r="P1079" i="2" s="1"/>
  <c r="U1079" i="2" s="1"/>
  <c r="N1079" i="2"/>
  <c r="AP1078" i="2"/>
  <c r="AN1078" i="2"/>
  <c r="AG1078" i="2"/>
  <c r="AF1078" i="2"/>
  <c r="AE1078" i="2"/>
  <c r="AC1078" i="2"/>
  <c r="AB1078" i="2"/>
  <c r="V1078" i="2"/>
  <c r="S1078" i="2"/>
  <c r="P1078" i="2"/>
  <c r="U1078" i="2" s="1"/>
  <c r="O1078" i="2"/>
  <c r="AH1078" i="2" s="1"/>
  <c r="N1078" i="2"/>
  <c r="AI1078" i="2" s="1"/>
  <c r="AP1077" i="2"/>
  <c r="AN1077" i="2"/>
  <c r="AC1077" i="2"/>
  <c r="AB1077" i="2"/>
  <c r="V1077" i="2"/>
  <c r="S1077" i="2"/>
  <c r="P1077" i="2"/>
  <c r="O1077" i="2"/>
  <c r="N1077" i="2"/>
  <c r="AP1076" i="2"/>
  <c r="AN1076" i="2"/>
  <c r="AC1076" i="2"/>
  <c r="AB1076" i="2"/>
  <c r="S1076" i="2"/>
  <c r="O1076" i="2"/>
  <c r="N1076" i="2"/>
  <c r="AP1075" i="2"/>
  <c r="AN1075" i="2"/>
  <c r="AG1075" i="2"/>
  <c r="AE1075" i="2"/>
  <c r="AC1075" i="2"/>
  <c r="AB1075" i="2"/>
  <c r="S1075" i="2"/>
  <c r="O1075" i="2"/>
  <c r="N1075" i="2"/>
  <c r="AP1074" i="2"/>
  <c r="AN1074" i="2"/>
  <c r="AI1074" i="2"/>
  <c r="AH1074" i="2"/>
  <c r="AC1074" i="2"/>
  <c r="AB1074" i="2"/>
  <c r="S1074" i="2"/>
  <c r="P1074" i="2"/>
  <c r="U1074" i="2" s="1"/>
  <c r="O1074" i="2"/>
  <c r="V1074" i="2" s="1"/>
  <c r="N1074" i="2"/>
  <c r="AG1074" i="2" s="1"/>
  <c r="AP1073" i="2"/>
  <c r="AN1073" i="2"/>
  <c r="AC1073" i="2"/>
  <c r="AB1073" i="2"/>
  <c r="AI1073" i="2" s="1"/>
  <c r="V1073" i="2"/>
  <c r="S1073" i="2"/>
  <c r="O1073" i="2"/>
  <c r="P1073" i="2" s="1"/>
  <c r="N1073" i="2"/>
  <c r="AH1073" i="2" s="1"/>
  <c r="AP1072" i="2"/>
  <c r="AN1072" i="2"/>
  <c r="AG1072" i="2"/>
  <c r="AF1072" i="2"/>
  <c r="AC1072" i="2"/>
  <c r="AB1072" i="2"/>
  <c r="S1072" i="2"/>
  <c r="P1072" i="2"/>
  <c r="U1072" i="2" s="1"/>
  <c r="O1072" i="2"/>
  <c r="N1072" i="2"/>
  <c r="AP1071" i="2"/>
  <c r="AN1071" i="2"/>
  <c r="AC1071" i="2"/>
  <c r="AB1071" i="2"/>
  <c r="V1071" i="2"/>
  <c r="S1071" i="2"/>
  <c r="P1071" i="2"/>
  <c r="O1071" i="2"/>
  <c r="N1071" i="2"/>
  <c r="AP1070" i="2"/>
  <c r="AN1070" i="2"/>
  <c r="AC1070" i="2"/>
  <c r="AB1070" i="2"/>
  <c r="S1070" i="2"/>
  <c r="O1070" i="2"/>
  <c r="P1070" i="2" s="1"/>
  <c r="U1070" i="2" s="1"/>
  <c r="N1070" i="2"/>
  <c r="AP1069" i="2"/>
  <c r="AN1069" i="2"/>
  <c r="AE1069" i="2"/>
  <c r="AC1069" i="2"/>
  <c r="AB1069" i="2"/>
  <c r="S1069" i="2"/>
  <c r="O1069" i="2"/>
  <c r="AF1069" i="2" s="1"/>
  <c r="N1069" i="2"/>
  <c r="AP1068" i="2"/>
  <c r="AN1068" i="2"/>
  <c r="AF1068" i="2"/>
  <c r="AE1068" i="2"/>
  <c r="AC1068" i="2"/>
  <c r="AB1068" i="2"/>
  <c r="S1068" i="2"/>
  <c r="P1068" i="2"/>
  <c r="U1068" i="2" s="1"/>
  <c r="O1068" i="2"/>
  <c r="V1068" i="2" s="1"/>
  <c r="N1068" i="2"/>
  <c r="AP1067" i="2"/>
  <c r="AN1067" i="2"/>
  <c r="AC1067" i="2"/>
  <c r="AB1067" i="2"/>
  <c r="V1067" i="2"/>
  <c r="S1067" i="2"/>
  <c r="P1067" i="2"/>
  <c r="O1067" i="2"/>
  <c r="N1067" i="2"/>
  <c r="AP1066" i="2"/>
  <c r="AN1066" i="2"/>
  <c r="AC1066" i="2"/>
  <c r="AB1066" i="2"/>
  <c r="S1066" i="2"/>
  <c r="O1066" i="2"/>
  <c r="AF1066" i="2" s="1"/>
  <c r="N1066" i="2"/>
  <c r="AP1065" i="2"/>
  <c r="AN1065" i="2"/>
  <c r="AC1065" i="2"/>
  <c r="AB1065" i="2"/>
  <c r="S1065" i="2"/>
  <c r="O1065" i="2"/>
  <c r="N1065" i="2"/>
  <c r="AI1065" i="2" s="1"/>
  <c r="AP1064" i="2"/>
  <c r="AN1064" i="2"/>
  <c r="AI1064" i="2"/>
  <c r="AH1064" i="2"/>
  <c r="AC1064" i="2"/>
  <c r="AG1064" i="2" s="1"/>
  <c r="AB1064" i="2"/>
  <c r="V1064" i="2"/>
  <c r="S1064" i="2"/>
  <c r="P1064" i="2"/>
  <c r="U1064" i="2" s="1"/>
  <c r="O1064" i="2"/>
  <c r="N1064" i="2"/>
  <c r="AF1064" i="2" s="1"/>
  <c r="AP1063" i="2"/>
  <c r="AN1063" i="2"/>
  <c r="AI1063" i="2"/>
  <c r="AH1063" i="2"/>
  <c r="AG1063" i="2"/>
  <c r="AF1063" i="2"/>
  <c r="AE1063" i="2"/>
  <c r="AC1063" i="2"/>
  <c r="AB1063" i="2"/>
  <c r="S1063" i="2"/>
  <c r="O1063" i="2"/>
  <c r="P1063" i="2" s="1"/>
  <c r="U1063" i="2" s="1"/>
  <c r="N1063" i="2"/>
  <c r="AP1062" i="2"/>
  <c r="AN1062" i="2"/>
  <c r="AG1062" i="2"/>
  <c r="AF1062" i="2"/>
  <c r="AE1062" i="2"/>
  <c r="AC1062" i="2"/>
  <c r="AB1062" i="2"/>
  <c r="V1062" i="2"/>
  <c r="S1062" i="2"/>
  <c r="P1062" i="2"/>
  <c r="U1062" i="2" s="1"/>
  <c r="O1062" i="2"/>
  <c r="AH1062" i="2" s="1"/>
  <c r="N1062" i="2"/>
  <c r="AI1062" i="2" s="1"/>
  <c r="AP1061" i="2"/>
  <c r="AN1061" i="2"/>
  <c r="AI1061" i="2"/>
  <c r="AC1061" i="2"/>
  <c r="AB1061" i="2"/>
  <c r="V1061" i="2"/>
  <c r="S1061" i="2"/>
  <c r="W1061" i="2" s="1"/>
  <c r="P1061" i="2"/>
  <c r="O1061" i="2"/>
  <c r="N1061" i="2"/>
  <c r="AP1060" i="2"/>
  <c r="AN1060" i="2"/>
  <c r="AC1060" i="2"/>
  <c r="AB1060" i="2"/>
  <c r="S1060" i="2"/>
  <c r="O1060" i="2"/>
  <c r="N1060" i="2"/>
  <c r="AE1060" i="2" s="1"/>
  <c r="AP1059" i="2"/>
  <c r="AN1059" i="2"/>
  <c r="AG1059" i="2"/>
  <c r="AC1059" i="2"/>
  <c r="AB1059" i="2"/>
  <c r="AE1059" i="2" s="1"/>
  <c r="S1059" i="2"/>
  <c r="O1059" i="2"/>
  <c r="V1059" i="2" s="1"/>
  <c r="N1059" i="2"/>
  <c r="AP1058" i="2"/>
  <c r="AN1058" i="2"/>
  <c r="AH1058" i="2"/>
  <c r="AC1058" i="2"/>
  <c r="AB1058" i="2"/>
  <c r="AI1058" i="2" s="1"/>
  <c r="S1058" i="2"/>
  <c r="P1058" i="2"/>
  <c r="O1058" i="2"/>
  <c r="N1058" i="2"/>
  <c r="AP1057" i="2"/>
  <c r="AN1057" i="2"/>
  <c r="AC1057" i="2"/>
  <c r="AB1057" i="2"/>
  <c r="AI1057" i="2" s="1"/>
  <c r="V1057" i="2"/>
  <c r="S1057" i="2"/>
  <c r="O1057" i="2"/>
  <c r="P1057" i="2" s="1"/>
  <c r="N1057" i="2"/>
  <c r="AP1056" i="2"/>
  <c r="AN1056" i="2"/>
  <c r="AI1056" i="2"/>
  <c r="AH1056" i="2"/>
  <c r="AG1056" i="2"/>
  <c r="AF1056" i="2"/>
  <c r="AC1056" i="2"/>
  <c r="AB1056" i="2"/>
  <c r="S1056" i="2"/>
  <c r="P1056" i="2"/>
  <c r="U1056" i="2" s="1"/>
  <c r="O1056" i="2"/>
  <c r="N1056" i="2"/>
  <c r="AP1055" i="2"/>
  <c r="AN1055" i="2"/>
  <c r="AH1055" i="2"/>
  <c r="AC1055" i="2"/>
  <c r="AB1055" i="2"/>
  <c r="V1055" i="2"/>
  <c r="S1055" i="2"/>
  <c r="W1055" i="2" s="1"/>
  <c r="X1055" i="2" s="1"/>
  <c r="P1055" i="2"/>
  <c r="U1055" i="2" s="1"/>
  <c r="O1055" i="2"/>
  <c r="N1055" i="2"/>
  <c r="AP1054" i="2"/>
  <c r="AN1054" i="2"/>
  <c r="AC1054" i="2"/>
  <c r="AH1054" i="2" s="1"/>
  <c r="AB1054" i="2"/>
  <c r="V1054" i="2"/>
  <c r="S1054" i="2"/>
  <c r="O1054" i="2"/>
  <c r="P1054" i="2" s="1"/>
  <c r="U1054" i="2" s="1"/>
  <c r="N1054" i="2"/>
  <c r="AG1054" i="2" s="1"/>
  <c r="AP1053" i="2"/>
  <c r="AN1053" i="2"/>
  <c r="AC1053" i="2"/>
  <c r="AB1053" i="2"/>
  <c r="V1053" i="2"/>
  <c r="S1053" i="2"/>
  <c r="P1053" i="2"/>
  <c r="U1053" i="2" s="1"/>
  <c r="O1053" i="2"/>
  <c r="AF1053" i="2" s="1"/>
  <c r="N1053" i="2"/>
  <c r="AP1052" i="2"/>
  <c r="AN1052" i="2"/>
  <c r="AC1052" i="2"/>
  <c r="AB1052" i="2"/>
  <c r="S1052" i="2"/>
  <c r="P1052" i="2"/>
  <c r="U1052" i="2" s="1"/>
  <c r="O1052" i="2"/>
  <c r="V1052" i="2" s="1"/>
  <c r="N1052" i="2"/>
  <c r="AP1051" i="2"/>
  <c r="AN1051" i="2"/>
  <c r="AH1051" i="2"/>
  <c r="AC1051" i="2"/>
  <c r="AB1051" i="2"/>
  <c r="V1051" i="2"/>
  <c r="S1051" i="2"/>
  <c r="P1051" i="2"/>
  <c r="O1051" i="2"/>
  <c r="N1051" i="2"/>
  <c r="AI1051" i="2" s="1"/>
  <c r="AP1050" i="2"/>
  <c r="AN1050" i="2"/>
  <c r="AC1050" i="2"/>
  <c r="AB1050" i="2"/>
  <c r="V1050" i="2"/>
  <c r="S1050" i="2"/>
  <c r="O1050" i="2"/>
  <c r="P1050" i="2" s="1"/>
  <c r="N1050" i="2"/>
  <c r="AI1050" i="2" s="1"/>
  <c r="AP1049" i="2"/>
  <c r="AN1049" i="2"/>
  <c r="AG1049" i="2"/>
  <c r="AC1049" i="2"/>
  <c r="AB1049" i="2"/>
  <c r="S1049" i="2"/>
  <c r="O1049" i="2"/>
  <c r="N1049" i="2"/>
  <c r="AE1049" i="2" s="1"/>
  <c r="AP1048" i="2"/>
  <c r="AN1048" i="2"/>
  <c r="AG1048" i="2"/>
  <c r="AC1048" i="2"/>
  <c r="AI1048" i="2" s="1"/>
  <c r="AB1048" i="2"/>
  <c r="V1048" i="2"/>
  <c r="S1048" i="2"/>
  <c r="P1048" i="2"/>
  <c r="U1048" i="2" s="1"/>
  <c r="AO1048" i="2" s="1"/>
  <c r="O1048" i="2"/>
  <c r="N1048" i="2"/>
  <c r="AF1048" i="2" s="1"/>
  <c r="AP1047" i="2"/>
  <c r="AN1047" i="2"/>
  <c r="AC1047" i="2"/>
  <c r="AB1047" i="2"/>
  <c r="V1047" i="2"/>
  <c r="S1047" i="2"/>
  <c r="O1047" i="2"/>
  <c r="P1047" i="2" s="1"/>
  <c r="U1047" i="2" s="1"/>
  <c r="N1047" i="2"/>
  <c r="AP1046" i="2"/>
  <c r="AN1046" i="2"/>
  <c r="AG1046" i="2"/>
  <c r="AC1046" i="2"/>
  <c r="AB1046" i="2"/>
  <c r="S1046" i="2"/>
  <c r="P1046" i="2"/>
  <c r="U1046" i="2" s="1"/>
  <c r="O1046" i="2"/>
  <c r="AF1046" i="2" s="1"/>
  <c r="N1046" i="2"/>
  <c r="AP1045" i="2"/>
  <c r="AN1045" i="2"/>
  <c r="AI1045" i="2"/>
  <c r="AH1045" i="2"/>
  <c r="AG1045" i="2"/>
  <c r="AF1045" i="2"/>
  <c r="AE1045" i="2"/>
  <c r="AC1045" i="2"/>
  <c r="AB1045" i="2"/>
  <c r="V1045" i="2"/>
  <c r="S1045" i="2"/>
  <c r="P1045" i="2"/>
  <c r="U1045" i="2" s="1"/>
  <c r="O1045" i="2"/>
  <c r="N1045" i="2"/>
  <c r="AP1044" i="2"/>
  <c r="AN1044" i="2"/>
  <c r="AC1044" i="2"/>
  <c r="AB1044" i="2"/>
  <c r="V1044" i="2"/>
  <c r="S1044" i="2"/>
  <c r="P1044" i="2"/>
  <c r="O1044" i="2"/>
  <c r="N1044" i="2"/>
  <c r="AI1044" i="2" s="1"/>
  <c r="AP1043" i="2"/>
  <c r="AN1043" i="2"/>
  <c r="AF1043" i="2"/>
  <c r="AC1043" i="2"/>
  <c r="AB1043" i="2"/>
  <c r="S1043" i="2"/>
  <c r="O1043" i="2"/>
  <c r="N1043" i="2"/>
  <c r="AG1043" i="2" s="1"/>
  <c r="AP1042" i="2"/>
  <c r="AN1042" i="2"/>
  <c r="AC1042" i="2"/>
  <c r="AB1042" i="2"/>
  <c r="AG1042" i="2" s="1"/>
  <c r="S1042" i="2"/>
  <c r="P1042" i="2"/>
  <c r="O1042" i="2"/>
  <c r="V1042" i="2" s="1"/>
  <c r="N1042" i="2"/>
  <c r="AP1041" i="2"/>
  <c r="AN1041" i="2"/>
  <c r="AC1041" i="2"/>
  <c r="AB1041" i="2"/>
  <c r="V1041" i="2"/>
  <c r="S1041" i="2"/>
  <c r="O1041" i="2"/>
  <c r="P1041" i="2" s="1"/>
  <c r="U1041" i="2" s="1"/>
  <c r="AO1041" i="2" s="1"/>
  <c r="N1041" i="2"/>
  <c r="AP1040" i="2"/>
  <c r="AN1040" i="2"/>
  <c r="AI1040" i="2"/>
  <c r="AE1040" i="2"/>
  <c r="AC1040" i="2"/>
  <c r="AB1040" i="2"/>
  <c r="S1040" i="2"/>
  <c r="O1040" i="2"/>
  <c r="V1040" i="2" s="1"/>
  <c r="N1040" i="2"/>
  <c r="AH1040" i="2" s="1"/>
  <c r="AP1039" i="2"/>
  <c r="AN1039" i="2"/>
  <c r="AI1039" i="2"/>
  <c r="AH1039" i="2"/>
  <c r="AG1039" i="2"/>
  <c r="AF1039" i="2"/>
  <c r="AC1039" i="2"/>
  <c r="AB1039" i="2"/>
  <c r="AE1039" i="2" s="1"/>
  <c r="V1039" i="2"/>
  <c r="S1039" i="2"/>
  <c r="P1039" i="2"/>
  <c r="U1039" i="2" s="1"/>
  <c r="AO1039" i="2" s="1"/>
  <c r="O1039" i="2"/>
  <c r="N1039" i="2"/>
  <c r="AP1038" i="2"/>
  <c r="AN1038" i="2"/>
  <c r="AF1038" i="2"/>
  <c r="AC1038" i="2"/>
  <c r="AB1038" i="2"/>
  <c r="V1038" i="2"/>
  <c r="S1038" i="2"/>
  <c r="P1038" i="2"/>
  <c r="U1038" i="2" s="1"/>
  <c r="AO1038" i="2" s="1"/>
  <c r="O1038" i="2"/>
  <c r="N1038" i="2"/>
  <c r="AI1038" i="2" s="1"/>
  <c r="AP1037" i="2"/>
  <c r="AN1037" i="2"/>
  <c r="AC1037" i="2"/>
  <c r="AB1037" i="2"/>
  <c r="V1037" i="2"/>
  <c r="S1037" i="2"/>
  <c r="P1037" i="2"/>
  <c r="U1037" i="2" s="1"/>
  <c r="AO1037" i="2" s="1"/>
  <c r="O1037" i="2"/>
  <c r="N1037" i="2"/>
  <c r="AP1036" i="2"/>
  <c r="AN1036" i="2"/>
  <c r="AH1036" i="2"/>
  <c r="AC1036" i="2"/>
  <c r="AB1036" i="2"/>
  <c r="AE1036" i="2" s="1"/>
  <c r="S1036" i="2"/>
  <c r="P1036" i="2"/>
  <c r="U1036" i="2" s="1"/>
  <c r="O1036" i="2"/>
  <c r="N1036" i="2"/>
  <c r="AP1035" i="2"/>
  <c r="AN1035" i="2"/>
  <c r="AI1035" i="2"/>
  <c r="AH1035" i="2"/>
  <c r="AC1035" i="2"/>
  <c r="AB1035" i="2"/>
  <c r="S1035" i="2"/>
  <c r="P1035" i="2"/>
  <c r="U1035" i="2" s="1"/>
  <c r="O1035" i="2"/>
  <c r="N1035" i="2"/>
  <c r="AF1035" i="2" s="1"/>
  <c r="AP1034" i="2"/>
  <c r="AN1034" i="2"/>
  <c r="AC1034" i="2"/>
  <c r="AB1034" i="2"/>
  <c r="V1034" i="2"/>
  <c r="S1034" i="2"/>
  <c r="P1034" i="2"/>
  <c r="O1034" i="2"/>
  <c r="N1034" i="2"/>
  <c r="AP1033" i="2"/>
  <c r="AN1033" i="2"/>
  <c r="AC1033" i="2"/>
  <c r="AB1033" i="2"/>
  <c r="S1033" i="2"/>
  <c r="O1033" i="2"/>
  <c r="P1033" i="2" s="1"/>
  <c r="U1033" i="2" s="1"/>
  <c r="N1033" i="2"/>
  <c r="AP1032" i="2"/>
  <c r="AN1032" i="2"/>
  <c r="AF1032" i="2"/>
  <c r="AC1032" i="2"/>
  <c r="AB1032" i="2"/>
  <c r="S1032" i="2"/>
  <c r="P1032" i="2"/>
  <c r="U1032" i="2" s="1"/>
  <c r="O1032" i="2"/>
  <c r="V1032" i="2" s="1"/>
  <c r="N1032" i="2"/>
  <c r="AI1032" i="2" s="1"/>
  <c r="AP1031" i="2"/>
  <c r="AN1031" i="2"/>
  <c r="AH1031" i="2"/>
  <c r="AC1031" i="2"/>
  <c r="AB1031" i="2"/>
  <c r="AE1031" i="2" s="1"/>
  <c r="S1031" i="2"/>
  <c r="O1031" i="2"/>
  <c r="V1031" i="2" s="1"/>
  <c r="N1031" i="2"/>
  <c r="AG1031" i="2" s="1"/>
  <c r="AP1030" i="2"/>
  <c r="AN1030" i="2"/>
  <c r="AC1030" i="2"/>
  <c r="AB1030" i="2"/>
  <c r="V1030" i="2"/>
  <c r="S1030" i="2"/>
  <c r="O1030" i="2"/>
  <c r="P1030" i="2" s="1"/>
  <c r="U1030" i="2" s="1"/>
  <c r="N1030" i="2"/>
  <c r="AI1030" i="2" s="1"/>
  <c r="AP1029" i="2"/>
  <c r="AN1029" i="2"/>
  <c r="AF1029" i="2"/>
  <c r="AC1029" i="2"/>
  <c r="AB1029" i="2"/>
  <c r="AI1029" i="2" s="1"/>
  <c r="S1029" i="2"/>
  <c r="O1029" i="2"/>
  <c r="V1029" i="2" s="1"/>
  <c r="N1029" i="2"/>
  <c r="AE1029" i="2" s="1"/>
  <c r="AP1028" i="2"/>
  <c r="AN1028" i="2"/>
  <c r="AI1028" i="2"/>
  <c r="AH1028" i="2"/>
  <c r="AG1028" i="2"/>
  <c r="AC1028" i="2"/>
  <c r="AB1028" i="2"/>
  <c r="S1028" i="2"/>
  <c r="P1028" i="2"/>
  <c r="U1028" i="2" s="1"/>
  <c r="O1028" i="2"/>
  <c r="N1028" i="2"/>
  <c r="AF1028" i="2" s="1"/>
  <c r="AP1027" i="2"/>
  <c r="AN1027" i="2"/>
  <c r="AI1027" i="2"/>
  <c r="AC1027" i="2"/>
  <c r="AB1027" i="2"/>
  <c r="V1027" i="2"/>
  <c r="S1027" i="2"/>
  <c r="O1027" i="2"/>
  <c r="P1027" i="2" s="1"/>
  <c r="U1027" i="2" s="1"/>
  <c r="N1027" i="2"/>
  <c r="AH1027" i="2" s="1"/>
  <c r="AP1026" i="2"/>
  <c r="AN1026" i="2"/>
  <c r="AC1026" i="2"/>
  <c r="AB1026" i="2"/>
  <c r="S1026" i="2"/>
  <c r="O1026" i="2"/>
  <c r="N1026" i="2"/>
  <c r="AI1026" i="2" s="1"/>
  <c r="AP1025" i="2"/>
  <c r="AN1025" i="2"/>
  <c r="AG1025" i="2"/>
  <c r="AC1025" i="2"/>
  <c r="AB1025" i="2"/>
  <c r="AI1025" i="2" s="1"/>
  <c r="V1025" i="2"/>
  <c r="S1025" i="2"/>
  <c r="P1025" i="2"/>
  <c r="U1025" i="2" s="1"/>
  <c r="O1025" i="2"/>
  <c r="N1025" i="2"/>
  <c r="AP1024" i="2"/>
  <c r="AN1024" i="2"/>
  <c r="AI1024" i="2"/>
  <c r="AE1024" i="2"/>
  <c r="AC1024" i="2"/>
  <c r="AB1024" i="2"/>
  <c r="S1024" i="2"/>
  <c r="P1024" i="2"/>
  <c r="U1024" i="2" s="1"/>
  <c r="O1024" i="2"/>
  <c r="V1024" i="2" s="1"/>
  <c r="N1024" i="2"/>
  <c r="AH1024" i="2" s="1"/>
  <c r="AP1023" i="2"/>
  <c r="AN1023" i="2"/>
  <c r="AG1023" i="2"/>
  <c r="AE1023" i="2"/>
  <c r="AC1023" i="2"/>
  <c r="AB1023" i="2"/>
  <c r="S1023" i="2"/>
  <c r="P1023" i="2"/>
  <c r="U1023" i="2" s="1"/>
  <c r="O1023" i="2"/>
  <c r="V1023" i="2" s="1"/>
  <c r="N1023" i="2"/>
  <c r="AI1023" i="2" s="1"/>
  <c r="AP1022" i="2"/>
  <c r="AN1022" i="2"/>
  <c r="AG1022" i="2"/>
  <c r="AC1022" i="2"/>
  <c r="AB1022" i="2"/>
  <c r="AH1022" i="2" s="1"/>
  <c r="S1022" i="2"/>
  <c r="P1022" i="2"/>
  <c r="U1022" i="2" s="1"/>
  <c r="O1022" i="2"/>
  <c r="V1022" i="2" s="1"/>
  <c r="N1022" i="2"/>
  <c r="AF1022" i="2" s="1"/>
  <c r="AP1021" i="2"/>
  <c r="AN1021" i="2"/>
  <c r="AC1021" i="2"/>
  <c r="AB1021" i="2"/>
  <c r="AE1021" i="2" s="1"/>
  <c r="S1021" i="2"/>
  <c r="O1021" i="2"/>
  <c r="P1021" i="2" s="1"/>
  <c r="U1021" i="2" s="1"/>
  <c r="N1021" i="2"/>
  <c r="AI1021" i="2" s="1"/>
  <c r="AP1020" i="2"/>
  <c r="AN1020" i="2"/>
  <c r="AC1020" i="2"/>
  <c r="AB1020" i="2"/>
  <c r="S1020" i="2"/>
  <c r="P1020" i="2"/>
  <c r="U1020" i="2" s="1"/>
  <c r="O1020" i="2"/>
  <c r="N1020" i="2"/>
  <c r="AP1019" i="2"/>
  <c r="AN1019" i="2"/>
  <c r="AC1019" i="2"/>
  <c r="AB1019" i="2"/>
  <c r="V1019" i="2"/>
  <c r="S1019" i="2"/>
  <c r="P1019" i="2"/>
  <c r="O1019" i="2"/>
  <c r="N1019" i="2"/>
  <c r="AP1018" i="2"/>
  <c r="AN1018" i="2"/>
  <c r="AC1018" i="2"/>
  <c r="AB1018" i="2"/>
  <c r="S1018" i="2"/>
  <c r="P1018" i="2"/>
  <c r="O1018" i="2"/>
  <c r="N1018" i="2"/>
  <c r="AH1018" i="2" s="1"/>
  <c r="AP1017" i="2"/>
  <c r="AN1017" i="2"/>
  <c r="AC1017" i="2"/>
  <c r="AB1017" i="2"/>
  <c r="S1017" i="2"/>
  <c r="O1017" i="2"/>
  <c r="P1017" i="2" s="1"/>
  <c r="U1017" i="2" s="1"/>
  <c r="N1017" i="2"/>
  <c r="AP1016" i="2"/>
  <c r="AN1016" i="2"/>
  <c r="AH1016" i="2"/>
  <c r="AF1016" i="2"/>
  <c r="AC1016" i="2"/>
  <c r="AB1016" i="2"/>
  <c r="AG1016" i="2" s="1"/>
  <c r="S1016" i="2"/>
  <c r="P1016" i="2"/>
  <c r="U1016" i="2" s="1"/>
  <c r="O1016" i="2"/>
  <c r="V1016" i="2" s="1"/>
  <c r="N1016" i="2"/>
  <c r="AI1016" i="2" s="1"/>
  <c r="AP1015" i="2"/>
  <c r="AN1015" i="2"/>
  <c r="AH1015" i="2"/>
  <c r="AC1015" i="2"/>
  <c r="AB1015" i="2"/>
  <c r="V1015" i="2"/>
  <c r="S1015" i="2"/>
  <c r="O1015" i="2"/>
  <c r="P1015" i="2" s="1"/>
  <c r="U1015" i="2" s="1"/>
  <c r="N1015" i="2"/>
  <c r="AP1014" i="2"/>
  <c r="AN1014" i="2"/>
  <c r="AC1014" i="2"/>
  <c r="AB1014" i="2"/>
  <c r="S1014" i="2"/>
  <c r="O1014" i="2"/>
  <c r="N1014" i="2"/>
  <c r="AP1013" i="2"/>
  <c r="AN1013" i="2"/>
  <c r="AC1013" i="2"/>
  <c r="AB1013" i="2"/>
  <c r="S1013" i="2"/>
  <c r="O1013" i="2"/>
  <c r="N1013" i="2"/>
  <c r="AP1012" i="2"/>
  <c r="AN1012" i="2"/>
  <c r="AI1012" i="2"/>
  <c r="AH1012" i="2"/>
  <c r="AC1012" i="2"/>
  <c r="AG1012" i="2" s="1"/>
  <c r="AB1012" i="2"/>
  <c r="S1012" i="2"/>
  <c r="P1012" i="2"/>
  <c r="U1012" i="2" s="1"/>
  <c r="O1012" i="2"/>
  <c r="N1012" i="2"/>
  <c r="AF1012" i="2" s="1"/>
  <c r="AP1011" i="2"/>
  <c r="AN1011" i="2"/>
  <c r="AI1011" i="2"/>
  <c r="AE1011" i="2"/>
  <c r="AC1011" i="2"/>
  <c r="AB1011" i="2"/>
  <c r="S1011" i="2"/>
  <c r="O1011" i="2"/>
  <c r="N1011" i="2"/>
  <c r="AP1010" i="2"/>
  <c r="AN1010" i="2"/>
  <c r="AG1010" i="2"/>
  <c r="AC1010" i="2"/>
  <c r="AB1010" i="2"/>
  <c r="S1010" i="2"/>
  <c r="O1010" i="2"/>
  <c r="AF1010" i="2" s="1"/>
  <c r="N1010" i="2"/>
  <c r="AP1009" i="2"/>
  <c r="AN1009" i="2"/>
  <c r="AC1009" i="2"/>
  <c r="AB1009" i="2"/>
  <c r="V1009" i="2"/>
  <c r="S1009" i="2"/>
  <c r="P1009" i="2"/>
  <c r="U1009" i="2" s="1"/>
  <c r="O1009" i="2"/>
  <c r="N1009" i="2"/>
  <c r="AP1008" i="2"/>
  <c r="AN1008" i="2"/>
  <c r="AC1008" i="2"/>
  <c r="AB1008" i="2"/>
  <c r="S1008" i="2"/>
  <c r="O1008" i="2"/>
  <c r="N1008" i="2"/>
  <c r="AP1007" i="2"/>
  <c r="AN1007" i="2"/>
  <c r="AC1007" i="2"/>
  <c r="AB1007" i="2"/>
  <c r="S1007" i="2"/>
  <c r="O1007" i="2"/>
  <c r="V1007" i="2" s="1"/>
  <c r="N1007" i="2"/>
  <c r="AP1006" i="2"/>
  <c r="AN1006" i="2"/>
  <c r="AC1006" i="2"/>
  <c r="AB1006" i="2"/>
  <c r="AH1006" i="2" s="1"/>
  <c r="S1006" i="2"/>
  <c r="P1006" i="2"/>
  <c r="U1006" i="2" s="1"/>
  <c r="O1006" i="2"/>
  <c r="V1006" i="2" s="1"/>
  <c r="N1006" i="2"/>
  <c r="AF1006" i="2" s="1"/>
  <c r="AP1005" i="2"/>
  <c r="AN1005" i="2"/>
  <c r="AI1005" i="2"/>
  <c r="AE1005" i="2"/>
  <c r="AC1005" i="2"/>
  <c r="AB1005" i="2"/>
  <c r="V1005" i="2"/>
  <c r="S1005" i="2"/>
  <c r="O1005" i="2"/>
  <c r="P1005" i="2" s="1"/>
  <c r="U1005" i="2" s="1"/>
  <c r="N1005" i="2"/>
  <c r="AP1004" i="2"/>
  <c r="AN1004" i="2"/>
  <c r="AF1004" i="2"/>
  <c r="AE1004" i="2"/>
  <c r="AC1004" i="2"/>
  <c r="AB1004" i="2"/>
  <c r="V1004" i="2"/>
  <c r="S1004" i="2"/>
  <c r="P1004" i="2"/>
  <c r="U1004" i="2" s="1"/>
  <c r="O1004" i="2"/>
  <c r="N1004" i="2"/>
  <c r="AP1003" i="2"/>
  <c r="AN1003" i="2"/>
  <c r="AC1003" i="2"/>
  <c r="AB1003" i="2"/>
  <c r="V1003" i="2"/>
  <c r="S1003" i="2"/>
  <c r="W1003" i="2" s="1"/>
  <c r="X1003" i="2" s="1"/>
  <c r="P1003" i="2"/>
  <c r="O1003" i="2"/>
  <c r="N1003" i="2"/>
  <c r="AP1002" i="2"/>
  <c r="AN1002" i="2"/>
  <c r="AH1002" i="2"/>
  <c r="AC1002" i="2"/>
  <c r="AB1002" i="2"/>
  <c r="V1002" i="2"/>
  <c r="S1002" i="2"/>
  <c r="W1002" i="2" s="1"/>
  <c r="P1002" i="2"/>
  <c r="O1002" i="2"/>
  <c r="N1002" i="2"/>
  <c r="AP1001" i="2"/>
  <c r="AN1001" i="2"/>
  <c r="AF1001" i="2"/>
  <c r="AC1001" i="2"/>
  <c r="AB1001" i="2"/>
  <c r="S1001" i="2"/>
  <c r="O1001" i="2"/>
  <c r="P1001" i="2" s="1"/>
  <c r="U1001" i="2" s="1"/>
  <c r="N1001" i="2"/>
  <c r="AG1001" i="2" s="1"/>
  <c r="AP1000" i="2"/>
  <c r="AN1000" i="2"/>
  <c r="AH1000" i="2"/>
  <c r="AF1000" i="2"/>
  <c r="AC1000" i="2"/>
  <c r="AB1000" i="2"/>
  <c r="S1000" i="2"/>
  <c r="P1000" i="2"/>
  <c r="U1000" i="2" s="1"/>
  <c r="O1000" i="2"/>
  <c r="V1000" i="2" s="1"/>
  <c r="N1000" i="2"/>
  <c r="AI1000" i="2" s="1"/>
  <c r="AP999" i="2"/>
  <c r="AN999" i="2"/>
  <c r="AC999" i="2"/>
  <c r="AI999" i="2" s="1"/>
  <c r="AB999" i="2"/>
  <c r="V999" i="2"/>
  <c r="S999" i="2"/>
  <c r="O999" i="2"/>
  <c r="P999" i="2" s="1"/>
  <c r="N999" i="2"/>
  <c r="AP998" i="2"/>
  <c r="AN998" i="2"/>
  <c r="AF998" i="2"/>
  <c r="AC998" i="2"/>
  <c r="AB998" i="2"/>
  <c r="S998" i="2"/>
  <c r="P998" i="2"/>
  <c r="U998" i="2" s="1"/>
  <c r="O998" i="2"/>
  <c r="N998" i="2"/>
  <c r="AI998" i="2" s="1"/>
  <c r="AP997" i="2"/>
  <c r="AN997" i="2"/>
  <c r="AC997" i="2"/>
  <c r="AB997" i="2"/>
  <c r="AI997" i="2" s="1"/>
  <c r="S997" i="2"/>
  <c r="O997" i="2"/>
  <c r="V997" i="2" s="1"/>
  <c r="N997" i="2"/>
  <c r="AP996" i="2"/>
  <c r="AN996" i="2"/>
  <c r="AC996" i="2"/>
  <c r="AI996" i="2" s="1"/>
  <c r="AB996" i="2"/>
  <c r="V996" i="2"/>
  <c r="S996" i="2"/>
  <c r="P996" i="2"/>
  <c r="O996" i="2"/>
  <c r="N996" i="2"/>
  <c r="AP995" i="2"/>
  <c r="AN995" i="2"/>
  <c r="AC995" i="2"/>
  <c r="AG995" i="2" s="1"/>
  <c r="AB995" i="2"/>
  <c r="V995" i="2"/>
  <c r="S995" i="2"/>
  <c r="O995" i="2"/>
  <c r="P995" i="2" s="1"/>
  <c r="U995" i="2" s="1"/>
  <c r="N995" i="2"/>
  <c r="AP994" i="2"/>
  <c r="AN994" i="2"/>
  <c r="AF994" i="2"/>
  <c r="AE994" i="2"/>
  <c r="AC994" i="2"/>
  <c r="AB994" i="2"/>
  <c r="S994" i="2"/>
  <c r="P994" i="2"/>
  <c r="U994" i="2" s="1"/>
  <c r="O994" i="2"/>
  <c r="V994" i="2" s="1"/>
  <c r="N994" i="2"/>
  <c r="AI994" i="2" s="1"/>
  <c r="AP993" i="2"/>
  <c r="AN993" i="2"/>
  <c r="AI993" i="2"/>
  <c r="AE993" i="2"/>
  <c r="AC993" i="2"/>
  <c r="AG993" i="2" s="1"/>
  <c r="AB993" i="2"/>
  <c r="V993" i="2"/>
  <c r="S993" i="2"/>
  <c r="P993" i="2"/>
  <c r="U993" i="2" s="1"/>
  <c r="O993" i="2"/>
  <c r="N993" i="2"/>
  <c r="AP992" i="2"/>
  <c r="AN992" i="2"/>
  <c r="AC992" i="2"/>
  <c r="AB992" i="2"/>
  <c r="S992" i="2"/>
  <c r="P992" i="2"/>
  <c r="O992" i="2"/>
  <c r="N992" i="2"/>
  <c r="AP991" i="2"/>
  <c r="AN991" i="2"/>
  <c r="AC991" i="2"/>
  <c r="AB991" i="2"/>
  <c r="S991" i="2"/>
  <c r="O991" i="2"/>
  <c r="N991" i="2"/>
  <c r="AP990" i="2"/>
  <c r="AN990" i="2"/>
  <c r="AC990" i="2"/>
  <c r="AB990" i="2"/>
  <c r="AG990" i="2" s="1"/>
  <c r="S990" i="2"/>
  <c r="O990" i="2"/>
  <c r="V990" i="2" s="1"/>
  <c r="N990" i="2"/>
  <c r="AI990" i="2" s="1"/>
  <c r="AP989" i="2"/>
  <c r="AN989" i="2"/>
  <c r="AC989" i="2"/>
  <c r="AB989" i="2"/>
  <c r="V989" i="2"/>
  <c r="S989" i="2"/>
  <c r="O989" i="2"/>
  <c r="P989" i="2" s="1"/>
  <c r="N989" i="2"/>
  <c r="AP988" i="2"/>
  <c r="AN988" i="2"/>
  <c r="AH988" i="2"/>
  <c r="AG988" i="2"/>
  <c r="AC988" i="2"/>
  <c r="AB988" i="2"/>
  <c r="S988" i="2"/>
  <c r="O988" i="2"/>
  <c r="AE988" i="2" s="1"/>
  <c r="N988" i="2"/>
  <c r="AF988" i="2" s="1"/>
  <c r="AP987" i="2"/>
  <c r="AN987" i="2"/>
  <c r="AI987" i="2"/>
  <c r="AF987" i="2"/>
  <c r="AC987" i="2"/>
  <c r="AB987" i="2"/>
  <c r="AH987" i="2" s="1"/>
  <c r="V987" i="2"/>
  <c r="S987" i="2"/>
  <c r="P987" i="2"/>
  <c r="U987" i="2" s="1"/>
  <c r="O987" i="2"/>
  <c r="N987" i="2"/>
  <c r="AP986" i="2"/>
  <c r="AN986" i="2"/>
  <c r="AC986" i="2"/>
  <c r="AB986" i="2"/>
  <c r="S986" i="2"/>
  <c r="P986" i="2"/>
  <c r="U986" i="2" s="1"/>
  <c r="O986" i="2"/>
  <c r="N986" i="2"/>
  <c r="V986" i="2" s="1"/>
  <c r="AP985" i="2"/>
  <c r="AN985" i="2"/>
  <c r="AF985" i="2"/>
  <c r="AE985" i="2"/>
  <c r="AC985" i="2"/>
  <c r="AB985" i="2"/>
  <c r="S985" i="2"/>
  <c r="O985" i="2"/>
  <c r="V985" i="2" s="1"/>
  <c r="N985" i="2"/>
  <c r="AG985" i="2" s="1"/>
  <c r="AP984" i="2"/>
  <c r="AN984" i="2"/>
  <c r="AI984" i="2"/>
  <c r="AC984" i="2"/>
  <c r="AF984" i="2" s="1"/>
  <c r="AB984" i="2"/>
  <c r="AH984" i="2" s="1"/>
  <c r="S984" i="2"/>
  <c r="P984" i="2"/>
  <c r="U984" i="2" s="1"/>
  <c r="O984" i="2"/>
  <c r="N984" i="2"/>
  <c r="AG984" i="2" s="1"/>
  <c r="AP983" i="2"/>
  <c r="AN983" i="2"/>
  <c r="AC983" i="2"/>
  <c r="AB983" i="2"/>
  <c r="S983" i="2"/>
  <c r="O983" i="2"/>
  <c r="V983" i="2" s="1"/>
  <c r="N983" i="2"/>
  <c r="AP982" i="2"/>
  <c r="AN982" i="2"/>
  <c r="AC982" i="2"/>
  <c r="AB982" i="2"/>
  <c r="S982" i="2"/>
  <c r="O982" i="2"/>
  <c r="N982" i="2"/>
  <c r="AP981" i="2"/>
  <c r="AN981" i="2"/>
  <c r="AG981" i="2"/>
  <c r="AE981" i="2"/>
  <c r="AC981" i="2"/>
  <c r="AB981" i="2"/>
  <c r="AF981" i="2" s="1"/>
  <c r="S981" i="2"/>
  <c r="O981" i="2"/>
  <c r="V981" i="2" s="1"/>
  <c r="N981" i="2"/>
  <c r="AP980" i="2"/>
  <c r="AN980" i="2"/>
  <c r="AI980" i="2"/>
  <c r="AH980" i="2"/>
  <c r="AE980" i="2"/>
  <c r="AC980" i="2"/>
  <c r="AB980" i="2"/>
  <c r="V980" i="2"/>
  <c r="S980" i="2"/>
  <c r="P980" i="2"/>
  <c r="U980" i="2" s="1"/>
  <c r="AO980" i="2" s="1"/>
  <c r="O980" i="2"/>
  <c r="N980" i="2"/>
  <c r="AG980" i="2" s="1"/>
  <c r="AP979" i="2"/>
  <c r="AN979" i="2"/>
  <c r="AC979" i="2"/>
  <c r="AB979" i="2"/>
  <c r="AI979" i="2" s="1"/>
  <c r="V979" i="2"/>
  <c r="S979" i="2"/>
  <c r="P979" i="2"/>
  <c r="U979" i="2" s="1"/>
  <c r="AO979" i="2" s="1"/>
  <c r="O979" i="2"/>
  <c r="N979" i="2"/>
  <c r="AH979" i="2" s="1"/>
  <c r="AP978" i="2"/>
  <c r="AN978" i="2"/>
  <c r="AG978" i="2"/>
  <c r="AF978" i="2"/>
  <c r="AC978" i="2"/>
  <c r="AB978" i="2"/>
  <c r="S978" i="2"/>
  <c r="P978" i="2"/>
  <c r="U978" i="2" s="1"/>
  <c r="O978" i="2"/>
  <c r="V978" i="2" s="1"/>
  <c r="N978" i="2"/>
  <c r="AE978" i="2" s="1"/>
  <c r="AP977" i="2"/>
  <c r="AN977" i="2"/>
  <c r="AC977" i="2"/>
  <c r="AB977" i="2"/>
  <c r="S977" i="2"/>
  <c r="O977" i="2"/>
  <c r="P977" i="2" s="1"/>
  <c r="U977" i="2" s="1"/>
  <c r="AO977" i="2" s="1"/>
  <c r="N977" i="2"/>
  <c r="AI977" i="2" s="1"/>
  <c r="AP976" i="2"/>
  <c r="AN976" i="2"/>
  <c r="AE976" i="2"/>
  <c r="AC976" i="2"/>
  <c r="AB976" i="2"/>
  <c r="S976" i="2"/>
  <c r="P976" i="2"/>
  <c r="U976" i="2" s="1"/>
  <c r="AO976" i="2" s="1"/>
  <c r="O976" i="2"/>
  <c r="V976" i="2" s="1"/>
  <c r="N976" i="2"/>
  <c r="AP975" i="2"/>
  <c r="AN975" i="2"/>
  <c r="AC975" i="2"/>
  <c r="AB975" i="2"/>
  <c r="AI975" i="2" s="1"/>
  <c r="S975" i="2"/>
  <c r="P975" i="2"/>
  <c r="U975" i="2" s="1"/>
  <c r="AO975" i="2" s="1"/>
  <c r="O975" i="2"/>
  <c r="N975" i="2"/>
  <c r="AP974" i="2"/>
  <c r="AN974" i="2"/>
  <c r="AC974" i="2"/>
  <c r="AB974" i="2"/>
  <c r="V974" i="2"/>
  <c r="S974" i="2"/>
  <c r="P974" i="2"/>
  <c r="U974" i="2" s="1"/>
  <c r="O974" i="2"/>
  <c r="N974" i="2"/>
  <c r="AP973" i="2"/>
  <c r="AN973" i="2"/>
  <c r="AI973" i="2"/>
  <c r="AC973" i="2"/>
  <c r="AB973" i="2"/>
  <c r="S973" i="2"/>
  <c r="P973" i="2"/>
  <c r="O973" i="2"/>
  <c r="N973" i="2"/>
  <c r="AP972" i="2"/>
  <c r="AN972" i="2"/>
  <c r="AC972" i="2"/>
  <c r="AF972" i="2" s="1"/>
  <c r="AB972" i="2"/>
  <c r="S972" i="2"/>
  <c r="P972" i="2"/>
  <c r="U972" i="2" s="1"/>
  <c r="O972" i="2"/>
  <c r="V972" i="2" s="1"/>
  <c r="N972" i="2"/>
  <c r="AI972" i="2" s="1"/>
  <c r="AP971" i="2"/>
  <c r="AN971" i="2"/>
  <c r="AH971" i="2"/>
  <c r="AG971" i="2"/>
  <c r="AC971" i="2"/>
  <c r="AB971" i="2"/>
  <c r="AE971" i="2" s="1"/>
  <c r="S971" i="2"/>
  <c r="O971" i="2"/>
  <c r="V971" i="2" s="1"/>
  <c r="N971" i="2"/>
  <c r="AF971" i="2" s="1"/>
  <c r="AP970" i="2"/>
  <c r="AN970" i="2"/>
  <c r="AC970" i="2"/>
  <c r="AB970" i="2"/>
  <c r="V970" i="2"/>
  <c r="S970" i="2"/>
  <c r="O970" i="2"/>
  <c r="P970" i="2" s="1"/>
  <c r="U970" i="2" s="1"/>
  <c r="N970" i="2"/>
  <c r="AI970" i="2" s="1"/>
  <c r="AP969" i="2"/>
  <c r="AN969" i="2"/>
  <c r="AF969" i="2"/>
  <c r="AE969" i="2"/>
  <c r="AC969" i="2"/>
  <c r="AB969" i="2"/>
  <c r="S969" i="2"/>
  <c r="O969" i="2"/>
  <c r="V969" i="2" s="1"/>
  <c r="N969" i="2"/>
  <c r="AH969" i="2" s="1"/>
  <c r="AP968" i="2"/>
  <c r="AN968" i="2"/>
  <c r="AI968" i="2"/>
  <c r="AF968" i="2"/>
  <c r="AC968" i="2"/>
  <c r="AH968" i="2" s="1"/>
  <c r="AB968" i="2"/>
  <c r="S968" i="2"/>
  <c r="P968" i="2"/>
  <c r="U968" i="2" s="1"/>
  <c r="O968" i="2"/>
  <c r="N968" i="2"/>
  <c r="AG968" i="2" s="1"/>
  <c r="AP967" i="2"/>
  <c r="AN967" i="2"/>
  <c r="AC967" i="2"/>
  <c r="AB967" i="2"/>
  <c r="S967" i="2"/>
  <c r="O967" i="2"/>
  <c r="V967" i="2" s="1"/>
  <c r="N967" i="2"/>
  <c r="AP966" i="2"/>
  <c r="AN966" i="2"/>
  <c r="AC966" i="2"/>
  <c r="AB966" i="2"/>
  <c r="S966" i="2"/>
  <c r="O966" i="2"/>
  <c r="N966" i="2"/>
  <c r="AP965" i="2"/>
  <c r="AN965" i="2"/>
  <c r="AG965" i="2"/>
  <c r="AE965" i="2"/>
  <c r="AC965" i="2"/>
  <c r="AB965" i="2"/>
  <c r="S965" i="2"/>
  <c r="O965" i="2"/>
  <c r="V965" i="2" s="1"/>
  <c r="N965" i="2"/>
  <c r="AP964" i="2"/>
  <c r="AN964" i="2"/>
  <c r="AI964" i="2"/>
  <c r="AH964" i="2"/>
  <c r="AE964" i="2"/>
  <c r="AC964" i="2"/>
  <c r="AB964" i="2"/>
  <c r="V964" i="2"/>
  <c r="S964" i="2"/>
  <c r="P964" i="2"/>
  <c r="U964" i="2" s="1"/>
  <c r="O964" i="2"/>
  <c r="N964" i="2"/>
  <c r="AG964" i="2" s="1"/>
  <c r="AP963" i="2"/>
  <c r="AN963" i="2"/>
  <c r="AE963" i="2"/>
  <c r="AC963" i="2"/>
  <c r="AB963" i="2"/>
  <c r="AI963" i="2" s="1"/>
  <c r="V963" i="2"/>
  <c r="S963" i="2"/>
  <c r="P963" i="2"/>
  <c r="U963" i="2" s="1"/>
  <c r="O963" i="2"/>
  <c r="N963" i="2"/>
  <c r="AH963" i="2" s="1"/>
  <c r="AP962" i="2"/>
  <c r="AN962" i="2"/>
  <c r="AG962" i="2"/>
  <c r="AF962" i="2"/>
  <c r="AC962" i="2"/>
  <c r="AB962" i="2"/>
  <c r="S962" i="2"/>
  <c r="P962" i="2"/>
  <c r="U962" i="2" s="1"/>
  <c r="O962" i="2"/>
  <c r="V962" i="2" s="1"/>
  <c r="N962" i="2"/>
  <c r="AE962" i="2" s="1"/>
  <c r="AP961" i="2"/>
  <c r="AN961" i="2"/>
  <c r="AC961" i="2"/>
  <c r="AB961" i="2"/>
  <c r="S961" i="2"/>
  <c r="O961" i="2"/>
  <c r="P961" i="2" s="1"/>
  <c r="U961" i="2" s="1"/>
  <c r="N961" i="2"/>
  <c r="AI961" i="2" s="1"/>
  <c r="AP960" i="2"/>
  <c r="AN960" i="2"/>
  <c r="AE960" i="2"/>
  <c r="AC960" i="2"/>
  <c r="AB960" i="2"/>
  <c r="S960" i="2"/>
  <c r="P960" i="2"/>
  <c r="U960" i="2" s="1"/>
  <c r="O960" i="2"/>
  <c r="V960" i="2" s="1"/>
  <c r="N960" i="2"/>
  <c r="AI960" i="2" s="1"/>
  <c r="AP959" i="2"/>
  <c r="AN959" i="2"/>
  <c r="AC959" i="2"/>
  <c r="AB959" i="2"/>
  <c r="S959" i="2"/>
  <c r="O959" i="2"/>
  <c r="N959" i="2"/>
  <c r="AP958" i="2"/>
  <c r="AN958" i="2"/>
  <c r="AC958" i="2"/>
  <c r="AB958" i="2"/>
  <c r="V958" i="2"/>
  <c r="S958" i="2"/>
  <c r="P958" i="2"/>
  <c r="O958" i="2"/>
  <c r="N958" i="2"/>
  <c r="AI958" i="2" s="1"/>
  <c r="AP957" i="2"/>
  <c r="AN957" i="2"/>
  <c r="AI957" i="2"/>
  <c r="AC957" i="2"/>
  <c r="AB957" i="2"/>
  <c r="S957" i="2"/>
  <c r="O957" i="2"/>
  <c r="P957" i="2" s="1"/>
  <c r="U957" i="2" s="1"/>
  <c r="N957" i="2"/>
  <c r="AP956" i="2"/>
  <c r="AN956" i="2"/>
  <c r="AF956" i="2"/>
  <c r="AC956" i="2"/>
  <c r="AB956" i="2"/>
  <c r="S956" i="2"/>
  <c r="P956" i="2"/>
  <c r="U956" i="2" s="1"/>
  <c r="O956" i="2"/>
  <c r="V956" i="2" s="1"/>
  <c r="N956" i="2"/>
  <c r="AI956" i="2" s="1"/>
  <c r="AP955" i="2"/>
  <c r="AN955" i="2"/>
  <c r="AH955" i="2"/>
  <c r="AG955" i="2"/>
  <c r="AC955" i="2"/>
  <c r="AB955" i="2"/>
  <c r="AE955" i="2" s="1"/>
  <c r="S955" i="2"/>
  <c r="O955" i="2"/>
  <c r="N955" i="2"/>
  <c r="AF955" i="2" s="1"/>
  <c r="AP954" i="2"/>
  <c r="AN954" i="2"/>
  <c r="AC954" i="2"/>
  <c r="AB954" i="2"/>
  <c r="V954" i="2"/>
  <c r="S954" i="2"/>
  <c r="O954" i="2"/>
  <c r="P954" i="2" s="1"/>
  <c r="U954" i="2" s="1"/>
  <c r="N954" i="2"/>
  <c r="AI954" i="2" s="1"/>
  <c r="AP953" i="2"/>
  <c r="AN953" i="2"/>
  <c r="AC953" i="2"/>
  <c r="AB953" i="2"/>
  <c r="S953" i="2"/>
  <c r="O953" i="2"/>
  <c r="N953" i="2"/>
  <c r="AP952" i="2"/>
  <c r="AN952" i="2"/>
  <c r="AI952" i="2"/>
  <c r="AH952" i="2"/>
  <c r="AF952" i="2"/>
  <c r="AC952" i="2"/>
  <c r="AB952" i="2"/>
  <c r="S952" i="2"/>
  <c r="P952" i="2"/>
  <c r="U952" i="2" s="1"/>
  <c r="O952" i="2"/>
  <c r="N952" i="2"/>
  <c r="AG952" i="2" s="1"/>
  <c r="AP951" i="2"/>
  <c r="AN951" i="2"/>
  <c r="AG951" i="2"/>
  <c r="AC951" i="2"/>
  <c r="AB951" i="2"/>
  <c r="AH951" i="2" s="1"/>
  <c r="V951" i="2"/>
  <c r="S951" i="2"/>
  <c r="O951" i="2"/>
  <c r="P951" i="2" s="1"/>
  <c r="N951" i="2"/>
  <c r="AF951" i="2" s="1"/>
  <c r="AP950" i="2"/>
  <c r="AN950" i="2"/>
  <c r="AG950" i="2"/>
  <c r="AC950" i="2"/>
  <c r="AB950" i="2"/>
  <c r="S950" i="2"/>
  <c r="O950" i="2"/>
  <c r="N950" i="2"/>
  <c r="AP949" i="2"/>
  <c r="AN949" i="2"/>
  <c r="AG949" i="2"/>
  <c r="AE949" i="2"/>
  <c r="AC949" i="2"/>
  <c r="AB949" i="2"/>
  <c r="S949" i="2"/>
  <c r="O949" i="2"/>
  <c r="V949" i="2" s="1"/>
  <c r="N949" i="2"/>
  <c r="AP948" i="2"/>
  <c r="AN948" i="2"/>
  <c r="AI948" i="2"/>
  <c r="AH948" i="2"/>
  <c r="AE948" i="2"/>
  <c r="AC948" i="2"/>
  <c r="AB948" i="2"/>
  <c r="V948" i="2"/>
  <c r="S948" i="2"/>
  <c r="P948" i="2"/>
  <c r="U948" i="2" s="1"/>
  <c r="O948" i="2"/>
  <c r="N948" i="2"/>
  <c r="AG948" i="2" s="1"/>
  <c r="AP947" i="2"/>
  <c r="AN947" i="2"/>
  <c r="AE947" i="2"/>
  <c r="AC947" i="2"/>
  <c r="AB947" i="2"/>
  <c r="V947" i="2"/>
  <c r="S947" i="2"/>
  <c r="P947" i="2"/>
  <c r="U947" i="2" s="1"/>
  <c r="O947" i="2"/>
  <c r="N947" i="2"/>
  <c r="AH947" i="2" s="1"/>
  <c r="AP946" i="2"/>
  <c r="AN946" i="2"/>
  <c r="AC946" i="2"/>
  <c r="AB946" i="2"/>
  <c r="S946" i="2"/>
  <c r="P946" i="2"/>
  <c r="O946" i="2"/>
  <c r="N946" i="2"/>
  <c r="AP945" i="2"/>
  <c r="AN945" i="2"/>
  <c r="AC945" i="2"/>
  <c r="AB945" i="2"/>
  <c r="S945" i="2"/>
  <c r="O945" i="2"/>
  <c r="P945" i="2" s="1"/>
  <c r="N945" i="2"/>
  <c r="AP944" i="2"/>
  <c r="AN944" i="2"/>
  <c r="AE944" i="2"/>
  <c r="AC944" i="2"/>
  <c r="AB944" i="2"/>
  <c r="S944" i="2"/>
  <c r="P944" i="2"/>
  <c r="U944" i="2" s="1"/>
  <c r="O944" i="2"/>
  <c r="N944" i="2"/>
  <c r="AH944" i="2" s="1"/>
  <c r="AP943" i="2"/>
  <c r="AN943" i="2"/>
  <c r="AG943" i="2"/>
  <c r="AE943" i="2"/>
  <c r="AC943" i="2"/>
  <c r="AB943" i="2"/>
  <c r="AI943" i="2" s="1"/>
  <c r="V943" i="2"/>
  <c r="S943" i="2"/>
  <c r="O943" i="2"/>
  <c r="P943" i="2" s="1"/>
  <c r="U943" i="2" s="1"/>
  <c r="N943" i="2"/>
  <c r="AF943" i="2" s="1"/>
  <c r="AP942" i="2"/>
  <c r="AN942" i="2"/>
  <c r="AC942" i="2"/>
  <c r="AB942" i="2"/>
  <c r="AG942" i="2" s="1"/>
  <c r="V942" i="2"/>
  <c r="S942" i="2"/>
  <c r="P942" i="2"/>
  <c r="U942" i="2" s="1"/>
  <c r="O942" i="2"/>
  <c r="N942" i="2"/>
  <c r="AP941" i="2"/>
  <c r="AN941" i="2"/>
  <c r="AE941" i="2"/>
  <c r="AC941" i="2"/>
  <c r="AB941" i="2"/>
  <c r="AF941" i="2" s="1"/>
  <c r="V941" i="2"/>
  <c r="S941" i="2"/>
  <c r="O941" i="2"/>
  <c r="P941" i="2" s="1"/>
  <c r="U941" i="2" s="1"/>
  <c r="N941" i="2"/>
  <c r="AI941" i="2" s="1"/>
  <c r="AP940" i="2"/>
  <c r="AN940" i="2"/>
  <c r="AC940" i="2"/>
  <c r="AB940" i="2"/>
  <c r="S940" i="2"/>
  <c r="P940" i="2"/>
  <c r="U940" i="2" s="1"/>
  <c r="O940" i="2"/>
  <c r="V940" i="2" s="1"/>
  <c r="N940" i="2"/>
  <c r="AP939" i="2"/>
  <c r="AN939" i="2"/>
  <c r="AC939" i="2"/>
  <c r="AB939" i="2"/>
  <c r="S939" i="2"/>
  <c r="P939" i="2"/>
  <c r="U939" i="2" s="1"/>
  <c r="O939" i="2"/>
  <c r="V939" i="2" s="1"/>
  <c r="N939" i="2"/>
  <c r="AP938" i="2"/>
  <c r="AN938" i="2"/>
  <c r="AC938" i="2"/>
  <c r="AB938" i="2"/>
  <c r="S938" i="2"/>
  <c r="O938" i="2"/>
  <c r="P938" i="2" s="1"/>
  <c r="U938" i="2" s="1"/>
  <c r="N938" i="2"/>
  <c r="AP937" i="2"/>
  <c r="AN937" i="2"/>
  <c r="AC937" i="2"/>
  <c r="AB937" i="2"/>
  <c r="S937" i="2"/>
  <c r="P937" i="2"/>
  <c r="U937" i="2" s="1"/>
  <c r="O937" i="2"/>
  <c r="N937" i="2"/>
  <c r="AP936" i="2"/>
  <c r="AN936" i="2"/>
  <c r="AH936" i="2"/>
  <c r="AC936" i="2"/>
  <c r="AI936" i="2" s="1"/>
  <c r="AB936" i="2"/>
  <c r="S936" i="2"/>
  <c r="P936" i="2"/>
  <c r="U936" i="2" s="1"/>
  <c r="O936" i="2"/>
  <c r="N936" i="2"/>
  <c r="AG936" i="2" s="1"/>
  <c r="AP935" i="2"/>
  <c r="AN935" i="2"/>
  <c r="AC935" i="2"/>
  <c r="AB935" i="2"/>
  <c r="S935" i="2"/>
  <c r="O935" i="2"/>
  <c r="N935" i="2"/>
  <c r="AP934" i="2"/>
  <c r="AN934" i="2"/>
  <c r="AC934" i="2"/>
  <c r="AB934" i="2"/>
  <c r="V934" i="2"/>
  <c r="S934" i="2"/>
  <c r="O934" i="2"/>
  <c r="P934" i="2" s="1"/>
  <c r="U934" i="2" s="1"/>
  <c r="N934" i="2"/>
  <c r="AG934" i="2" s="1"/>
  <c r="AP933" i="2"/>
  <c r="AN933" i="2"/>
  <c r="AC933" i="2"/>
  <c r="AB933" i="2"/>
  <c r="S933" i="2"/>
  <c r="O933" i="2"/>
  <c r="N933" i="2"/>
  <c r="AP932" i="2"/>
  <c r="AN932" i="2"/>
  <c r="AC932" i="2"/>
  <c r="AB932" i="2"/>
  <c r="V932" i="2"/>
  <c r="S932" i="2"/>
  <c r="P932" i="2"/>
  <c r="U932" i="2" s="1"/>
  <c r="O932" i="2"/>
  <c r="N932" i="2"/>
  <c r="AP931" i="2"/>
  <c r="AN931" i="2"/>
  <c r="AG931" i="2"/>
  <c r="AF931" i="2"/>
  <c r="AC931" i="2"/>
  <c r="AB931" i="2"/>
  <c r="AE931" i="2" s="1"/>
  <c r="V931" i="2"/>
  <c r="S931" i="2"/>
  <c r="O931" i="2"/>
  <c r="P931" i="2" s="1"/>
  <c r="U931" i="2" s="1"/>
  <c r="N931" i="2"/>
  <c r="AH931" i="2" s="1"/>
  <c r="AP930" i="2"/>
  <c r="AN930" i="2"/>
  <c r="AF930" i="2"/>
  <c r="AC930" i="2"/>
  <c r="AB930" i="2"/>
  <c r="S930" i="2"/>
  <c r="P930" i="2"/>
  <c r="U930" i="2" s="1"/>
  <c r="O930" i="2"/>
  <c r="N930" i="2"/>
  <c r="AP929" i="2"/>
  <c r="AN929" i="2"/>
  <c r="AC929" i="2"/>
  <c r="AB929" i="2"/>
  <c r="S929" i="2"/>
  <c r="O929" i="2"/>
  <c r="N929" i="2"/>
  <c r="AP928" i="2"/>
  <c r="AN928" i="2"/>
  <c r="AE928" i="2"/>
  <c r="AC928" i="2"/>
  <c r="AB928" i="2"/>
  <c r="AI928" i="2" s="1"/>
  <c r="S928" i="2"/>
  <c r="O928" i="2"/>
  <c r="V928" i="2" s="1"/>
  <c r="N928" i="2"/>
  <c r="AG928" i="2" s="1"/>
  <c r="AP927" i="2"/>
  <c r="AN927" i="2"/>
  <c r="AF927" i="2"/>
  <c r="AE927" i="2"/>
  <c r="AC927" i="2"/>
  <c r="AB927" i="2"/>
  <c r="S927" i="2"/>
  <c r="O927" i="2"/>
  <c r="V927" i="2" s="1"/>
  <c r="N927" i="2"/>
  <c r="AG927" i="2" s="1"/>
  <c r="AP926" i="2"/>
  <c r="AN926" i="2"/>
  <c r="AI926" i="2"/>
  <c r="AH926" i="2"/>
  <c r="AG926" i="2"/>
  <c r="AF926" i="2"/>
  <c r="AE926" i="2"/>
  <c r="AC926" i="2"/>
  <c r="AB926" i="2"/>
  <c r="V926" i="2"/>
  <c r="S926" i="2"/>
  <c r="P926" i="2"/>
  <c r="U926" i="2" s="1"/>
  <c r="O926" i="2"/>
  <c r="N926" i="2"/>
  <c r="AP925" i="2"/>
  <c r="AN925" i="2"/>
  <c r="AC925" i="2"/>
  <c r="AB925" i="2"/>
  <c r="V925" i="2"/>
  <c r="S925" i="2"/>
  <c r="P925" i="2"/>
  <c r="O925" i="2"/>
  <c r="N925" i="2"/>
  <c r="AP924" i="2"/>
  <c r="AN924" i="2"/>
  <c r="AC924" i="2"/>
  <c r="AB924" i="2"/>
  <c r="S924" i="2"/>
  <c r="O924" i="2"/>
  <c r="N924" i="2"/>
  <c r="AP923" i="2"/>
  <c r="AN923" i="2"/>
  <c r="AG923" i="2"/>
  <c r="AE923" i="2"/>
  <c r="AC923" i="2"/>
  <c r="AB923" i="2"/>
  <c r="S923" i="2"/>
  <c r="P923" i="2"/>
  <c r="U923" i="2" s="1"/>
  <c r="O923" i="2"/>
  <c r="V923" i="2" s="1"/>
  <c r="N923" i="2"/>
  <c r="AI923" i="2" s="1"/>
  <c r="AP922" i="2"/>
  <c r="AN922" i="2"/>
  <c r="AI922" i="2"/>
  <c r="AH922" i="2"/>
  <c r="AE922" i="2"/>
  <c r="AC922" i="2"/>
  <c r="AB922" i="2"/>
  <c r="S922" i="2"/>
  <c r="P922" i="2"/>
  <c r="U922" i="2" s="1"/>
  <c r="O922" i="2"/>
  <c r="V922" i="2" s="1"/>
  <c r="N922" i="2"/>
  <c r="AG922" i="2" s="1"/>
  <c r="AP921" i="2"/>
  <c r="AN921" i="2"/>
  <c r="AE921" i="2"/>
  <c r="AC921" i="2"/>
  <c r="AB921" i="2"/>
  <c r="V921" i="2"/>
  <c r="S921" i="2"/>
  <c r="P921" i="2"/>
  <c r="U921" i="2" s="1"/>
  <c r="AO921" i="2" s="1"/>
  <c r="O921" i="2"/>
  <c r="N921" i="2"/>
  <c r="AI921" i="2" s="1"/>
  <c r="AP920" i="2"/>
  <c r="AN920" i="2"/>
  <c r="AG920" i="2"/>
  <c r="AF920" i="2"/>
  <c r="AC920" i="2"/>
  <c r="AB920" i="2"/>
  <c r="S920" i="2"/>
  <c r="P920" i="2"/>
  <c r="U920" i="2" s="1"/>
  <c r="O920" i="2"/>
  <c r="V920" i="2" s="1"/>
  <c r="N920" i="2"/>
  <c r="AE920" i="2" s="1"/>
  <c r="AP919" i="2"/>
  <c r="AN919" i="2"/>
  <c r="AC919" i="2"/>
  <c r="AB919" i="2"/>
  <c r="S919" i="2"/>
  <c r="O919" i="2"/>
  <c r="P919" i="2" s="1"/>
  <c r="U919" i="2" s="1"/>
  <c r="N919" i="2"/>
  <c r="AP918" i="2"/>
  <c r="AN918" i="2"/>
  <c r="AC918" i="2"/>
  <c r="AE918" i="2" s="1"/>
  <c r="AB918" i="2"/>
  <c r="S918" i="2"/>
  <c r="O918" i="2"/>
  <c r="P918" i="2" s="1"/>
  <c r="U918" i="2" s="1"/>
  <c r="N918" i="2"/>
  <c r="AP917" i="2"/>
  <c r="AN917" i="2"/>
  <c r="AC917" i="2"/>
  <c r="AB917" i="2"/>
  <c r="S917" i="2"/>
  <c r="P917" i="2"/>
  <c r="U917" i="2" s="1"/>
  <c r="O917" i="2"/>
  <c r="N917" i="2"/>
  <c r="AP916" i="2"/>
  <c r="AN916" i="2"/>
  <c r="AH916" i="2"/>
  <c r="AC916" i="2"/>
  <c r="AB916" i="2"/>
  <c r="V916" i="2"/>
  <c r="S916" i="2"/>
  <c r="O916" i="2"/>
  <c r="P916" i="2" s="1"/>
  <c r="N916" i="2"/>
  <c r="AP915" i="2"/>
  <c r="AN915" i="2"/>
  <c r="AF915" i="2"/>
  <c r="AC915" i="2"/>
  <c r="AB915" i="2"/>
  <c r="V915" i="2"/>
  <c r="S915" i="2"/>
  <c r="P915" i="2"/>
  <c r="U915" i="2" s="1"/>
  <c r="O915" i="2"/>
  <c r="N915" i="2"/>
  <c r="AI915" i="2" s="1"/>
  <c r="AP914" i="2"/>
  <c r="AN914" i="2"/>
  <c r="AF914" i="2"/>
  <c r="AC914" i="2"/>
  <c r="AB914" i="2"/>
  <c r="AI914" i="2" s="1"/>
  <c r="S914" i="2"/>
  <c r="O914" i="2"/>
  <c r="V914" i="2" s="1"/>
  <c r="N914" i="2"/>
  <c r="AH914" i="2" s="1"/>
  <c r="AP913" i="2"/>
  <c r="AC913" i="2"/>
  <c r="AH913" i="2" s="1"/>
  <c r="AB913" i="2"/>
  <c r="S913" i="2"/>
  <c r="O913" i="2"/>
  <c r="V913" i="2" s="1"/>
  <c r="N913" i="2"/>
  <c r="AP912" i="2"/>
  <c r="AN912" i="2"/>
  <c r="AC912" i="2"/>
  <c r="AB912" i="2"/>
  <c r="S912" i="2"/>
  <c r="O912" i="2"/>
  <c r="N912" i="2"/>
  <c r="AP911" i="2"/>
  <c r="AF911" i="2"/>
  <c r="AC911" i="2"/>
  <c r="AB911" i="2"/>
  <c r="S911" i="2"/>
  <c r="O911" i="2"/>
  <c r="N911" i="2"/>
  <c r="AG911" i="2" s="1"/>
  <c r="AP910" i="2"/>
  <c r="AN910" i="2"/>
  <c r="AI910" i="2"/>
  <c r="AH910" i="2"/>
  <c r="AG910" i="2"/>
  <c r="AF910" i="2"/>
  <c r="AE910" i="2"/>
  <c r="AC910" i="2"/>
  <c r="AB910" i="2"/>
  <c r="V910" i="2"/>
  <c r="S910" i="2"/>
  <c r="P910" i="2"/>
  <c r="U910" i="2" s="1"/>
  <c r="O910" i="2"/>
  <c r="N910" i="2"/>
  <c r="AP909" i="2"/>
  <c r="AN909" i="2"/>
  <c r="AI909" i="2"/>
  <c r="AC909" i="2"/>
  <c r="AB909" i="2"/>
  <c r="V909" i="2"/>
  <c r="S909" i="2"/>
  <c r="P909" i="2"/>
  <c r="O909" i="2"/>
  <c r="N909" i="2"/>
  <c r="AP908" i="2"/>
  <c r="AN908" i="2"/>
  <c r="AG908" i="2"/>
  <c r="AC908" i="2"/>
  <c r="AB908" i="2"/>
  <c r="S908" i="2"/>
  <c r="O908" i="2"/>
  <c r="N908" i="2"/>
  <c r="AP907" i="2"/>
  <c r="AN907" i="2"/>
  <c r="AG907" i="2"/>
  <c r="AE907" i="2"/>
  <c r="AC907" i="2"/>
  <c r="AB907" i="2"/>
  <c r="S907" i="2"/>
  <c r="P907" i="2"/>
  <c r="U907" i="2" s="1"/>
  <c r="O907" i="2"/>
  <c r="V907" i="2" s="1"/>
  <c r="N907" i="2"/>
  <c r="AI907" i="2" s="1"/>
  <c r="AP906" i="2"/>
  <c r="AI906" i="2"/>
  <c r="AH906" i="2"/>
  <c r="AE906" i="2"/>
  <c r="AC906" i="2"/>
  <c r="AB906" i="2"/>
  <c r="S906" i="2"/>
  <c r="P906" i="2"/>
  <c r="U906" i="2" s="1"/>
  <c r="O906" i="2"/>
  <c r="V906" i="2" s="1"/>
  <c r="N906" i="2"/>
  <c r="AG906" i="2" s="1"/>
  <c r="AP905" i="2"/>
  <c r="AN905" i="2"/>
  <c r="AE905" i="2"/>
  <c r="AC905" i="2"/>
  <c r="AB905" i="2"/>
  <c r="V905" i="2"/>
  <c r="S905" i="2"/>
  <c r="P905" i="2"/>
  <c r="U905" i="2" s="1"/>
  <c r="O905" i="2"/>
  <c r="N905" i="2"/>
  <c r="AP904" i="2"/>
  <c r="AN904" i="2"/>
  <c r="AC904" i="2"/>
  <c r="AB904" i="2"/>
  <c r="AF904" i="2" s="1"/>
  <c r="S904" i="2"/>
  <c r="P904" i="2"/>
  <c r="O904" i="2"/>
  <c r="N904" i="2"/>
  <c r="AP903" i="2"/>
  <c r="AN903" i="2"/>
  <c r="AC903" i="2"/>
  <c r="AB903" i="2"/>
  <c r="S903" i="2"/>
  <c r="O903" i="2"/>
  <c r="P903" i="2" s="1"/>
  <c r="N903" i="2"/>
  <c r="AP902" i="2"/>
  <c r="AN902" i="2"/>
  <c r="AC902" i="2"/>
  <c r="AB902" i="2"/>
  <c r="S902" i="2"/>
  <c r="O902" i="2"/>
  <c r="P902" i="2" s="1"/>
  <c r="U902" i="2" s="1"/>
  <c r="N902" i="2"/>
  <c r="AP901" i="2"/>
  <c r="AN901" i="2"/>
  <c r="AH901" i="2"/>
  <c r="AC901" i="2"/>
  <c r="AB901" i="2"/>
  <c r="V901" i="2"/>
  <c r="S901" i="2"/>
  <c r="P901" i="2"/>
  <c r="U901" i="2" s="1"/>
  <c r="O901" i="2"/>
  <c r="N901" i="2"/>
  <c r="AP900" i="2"/>
  <c r="AF900" i="2"/>
  <c r="AC900" i="2"/>
  <c r="AB900" i="2"/>
  <c r="V900" i="2"/>
  <c r="S900" i="2"/>
  <c r="O900" i="2"/>
  <c r="P900" i="2" s="1"/>
  <c r="N900" i="2"/>
  <c r="AP899" i="2"/>
  <c r="AN899" i="2"/>
  <c r="AI899" i="2"/>
  <c r="AF899" i="2"/>
  <c r="AC899" i="2"/>
  <c r="AB899" i="2"/>
  <c r="S899" i="2"/>
  <c r="P899" i="2"/>
  <c r="U899" i="2" s="1"/>
  <c r="O899" i="2"/>
  <c r="N899" i="2"/>
  <c r="AP898" i="2"/>
  <c r="AN898" i="2"/>
  <c r="AC898" i="2"/>
  <c r="AF898" i="2" s="1"/>
  <c r="AB898" i="2"/>
  <c r="S898" i="2"/>
  <c r="W898" i="2" s="1"/>
  <c r="X898" i="2" s="1"/>
  <c r="O898" i="2"/>
  <c r="V898" i="2" s="1"/>
  <c r="N898" i="2"/>
  <c r="AH898" i="2" s="1"/>
  <c r="AP897" i="2"/>
  <c r="AN897" i="2"/>
  <c r="AC897" i="2"/>
  <c r="AB897" i="2"/>
  <c r="S897" i="2"/>
  <c r="O897" i="2"/>
  <c r="N897" i="2"/>
  <c r="AP896" i="2"/>
  <c r="AN896" i="2"/>
  <c r="AC896" i="2"/>
  <c r="AB896" i="2"/>
  <c r="S896" i="2"/>
  <c r="O896" i="2"/>
  <c r="N896" i="2"/>
  <c r="AP895" i="2"/>
  <c r="AN895" i="2"/>
  <c r="AH895" i="2"/>
  <c r="AE895" i="2"/>
  <c r="AC895" i="2"/>
  <c r="AB895" i="2"/>
  <c r="S895" i="2"/>
  <c r="O895" i="2"/>
  <c r="N895" i="2"/>
  <c r="AP894" i="2"/>
  <c r="AI894" i="2"/>
  <c r="AH894" i="2"/>
  <c r="AG894" i="2"/>
  <c r="AF894" i="2"/>
  <c r="AE894" i="2"/>
  <c r="AC894" i="2"/>
  <c r="AB894" i="2"/>
  <c r="V894" i="2"/>
  <c r="S894" i="2"/>
  <c r="P894" i="2"/>
  <c r="U894" i="2" s="1"/>
  <c r="O894" i="2"/>
  <c r="N894" i="2"/>
  <c r="AP893" i="2"/>
  <c r="AN893" i="2"/>
  <c r="AI893" i="2"/>
  <c r="AF893" i="2"/>
  <c r="AC893" i="2"/>
  <c r="AB893" i="2"/>
  <c r="V893" i="2"/>
  <c r="U893" i="2"/>
  <c r="S893" i="2"/>
  <c r="P893" i="2"/>
  <c r="O893" i="2"/>
  <c r="N893" i="2"/>
  <c r="AP892" i="2"/>
  <c r="AN892" i="2"/>
  <c r="AE892" i="2"/>
  <c r="AC892" i="2"/>
  <c r="AB892" i="2"/>
  <c r="S892" i="2"/>
  <c r="O892" i="2"/>
  <c r="N892" i="2"/>
  <c r="AP891" i="2"/>
  <c r="AN891" i="2"/>
  <c r="AC891" i="2"/>
  <c r="AB891" i="2"/>
  <c r="S891" i="2"/>
  <c r="P891" i="2"/>
  <c r="U891" i="2" s="1"/>
  <c r="O891" i="2"/>
  <c r="V891" i="2" s="1"/>
  <c r="N891" i="2"/>
  <c r="AI891" i="2" s="1"/>
  <c r="AP890" i="2"/>
  <c r="AN890" i="2"/>
  <c r="AC890" i="2"/>
  <c r="AB890" i="2"/>
  <c r="S890" i="2"/>
  <c r="P890" i="2"/>
  <c r="O890" i="2"/>
  <c r="V890" i="2" s="1"/>
  <c r="N890" i="2"/>
  <c r="AP889" i="2"/>
  <c r="AN889" i="2"/>
  <c r="AC889" i="2"/>
  <c r="AB889" i="2"/>
  <c r="AH889" i="2" s="1"/>
  <c r="V889" i="2"/>
  <c r="S889" i="2"/>
  <c r="P889" i="2"/>
  <c r="O889" i="2"/>
  <c r="N889" i="2"/>
  <c r="AE889" i="2" s="1"/>
  <c r="AP888" i="2"/>
  <c r="AC888" i="2"/>
  <c r="AB888" i="2"/>
  <c r="S888" i="2"/>
  <c r="P888" i="2"/>
  <c r="O888" i="2"/>
  <c r="N888" i="2"/>
  <c r="AP887" i="2"/>
  <c r="AN887" i="2"/>
  <c r="AC887" i="2"/>
  <c r="AB887" i="2"/>
  <c r="S887" i="2"/>
  <c r="O887" i="2"/>
  <c r="P887" i="2" s="1"/>
  <c r="U887" i="2" s="1"/>
  <c r="N887" i="2"/>
  <c r="AH887" i="2" s="1"/>
  <c r="AP886" i="2"/>
  <c r="AN886" i="2"/>
  <c r="AC886" i="2"/>
  <c r="AB886" i="2"/>
  <c r="V886" i="2"/>
  <c r="S886" i="2"/>
  <c r="O886" i="2"/>
  <c r="P886" i="2" s="1"/>
  <c r="U886" i="2" s="1"/>
  <c r="N886" i="2"/>
  <c r="AH886" i="2" s="1"/>
  <c r="AP885" i="2"/>
  <c r="AN885" i="2"/>
  <c r="AC885" i="2"/>
  <c r="AB885" i="2"/>
  <c r="V885" i="2"/>
  <c r="S885" i="2"/>
  <c r="O885" i="2"/>
  <c r="AH885" i="2" s="1"/>
  <c r="N885" i="2"/>
  <c r="AP884" i="2"/>
  <c r="AN884" i="2"/>
  <c r="AC884" i="2"/>
  <c r="AB884" i="2"/>
  <c r="V884" i="2"/>
  <c r="S884" i="2"/>
  <c r="O884" i="2"/>
  <c r="P884" i="2" s="1"/>
  <c r="U884" i="2" s="1"/>
  <c r="N884" i="2"/>
  <c r="AP883" i="2"/>
  <c r="AF883" i="2"/>
  <c r="AE883" i="2"/>
  <c r="AC883" i="2"/>
  <c r="AB883" i="2"/>
  <c r="AI883" i="2" s="1"/>
  <c r="V883" i="2"/>
  <c r="S883" i="2"/>
  <c r="P883" i="2"/>
  <c r="U883" i="2" s="1"/>
  <c r="O883" i="2"/>
  <c r="N883" i="2"/>
  <c r="AP882" i="2"/>
  <c r="AN882" i="2"/>
  <c r="AI882" i="2"/>
  <c r="AC882" i="2"/>
  <c r="AB882" i="2"/>
  <c r="AE882" i="2" s="1"/>
  <c r="S882" i="2"/>
  <c r="P882" i="2"/>
  <c r="O882" i="2"/>
  <c r="N882" i="2"/>
  <c r="AP881" i="2"/>
  <c r="AN881" i="2"/>
  <c r="AC881" i="2"/>
  <c r="AB881" i="2"/>
  <c r="AG881" i="2" s="1"/>
  <c r="S881" i="2"/>
  <c r="O881" i="2"/>
  <c r="V881" i="2" s="1"/>
  <c r="N881" i="2"/>
  <c r="AP880" i="2"/>
  <c r="AN880" i="2"/>
  <c r="AC880" i="2"/>
  <c r="AB880" i="2"/>
  <c r="S880" i="2"/>
  <c r="O880" i="2"/>
  <c r="P880" i="2" s="1"/>
  <c r="U880" i="2" s="1"/>
  <c r="N880" i="2"/>
  <c r="AP879" i="2"/>
  <c r="AN879" i="2"/>
  <c r="AC879" i="2"/>
  <c r="AB879" i="2"/>
  <c r="S879" i="2"/>
  <c r="O879" i="2"/>
  <c r="P879" i="2" s="1"/>
  <c r="U879" i="2" s="1"/>
  <c r="N879" i="2"/>
  <c r="AP878" i="2"/>
  <c r="AI878" i="2"/>
  <c r="AH878" i="2"/>
  <c r="AG878" i="2"/>
  <c r="AF878" i="2"/>
  <c r="AE878" i="2"/>
  <c r="AC878" i="2"/>
  <c r="AB878" i="2"/>
  <c r="V878" i="2"/>
  <c r="S878" i="2"/>
  <c r="P878" i="2"/>
  <c r="U878" i="2" s="1"/>
  <c r="O878" i="2"/>
  <c r="N878" i="2"/>
  <c r="AP877" i="2"/>
  <c r="AN877" i="2"/>
  <c r="AC877" i="2"/>
  <c r="AG877" i="2" s="1"/>
  <c r="AB877" i="2"/>
  <c r="V877" i="2"/>
  <c r="S877" i="2"/>
  <c r="P877" i="2"/>
  <c r="U877" i="2" s="1"/>
  <c r="O877" i="2"/>
  <c r="N877" i="2"/>
  <c r="AP876" i="2"/>
  <c r="AN876" i="2"/>
  <c r="AC876" i="2"/>
  <c r="AB876" i="2"/>
  <c r="S876" i="2"/>
  <c r="O876" i="2"/>
  <c r="P876" i="2" s="1"/>
  <c r="N876" i="2"/>
  <c r="AP875" i="2"/>
  <c r="AN875" i="2"/>
  <c r="AC875" i="2"/>
  <c r="AB875" i="2"/>
  <c r="S875" i="2"/>
  <c r="O875" i="2"/>
  <c r="N875" i="2"/>
  <c r="AP874" i="2"/>
  <c r="AN874" i="2"/>
  <c r="AH874" i="2"/>
  <c r="AE874" i="2"/>
  <c r="AC874" i="2"/>
  <c r="AB874" i="2"/>
  <c r="AI874" i="2" s="1"/>
  <c r="S874" i="2"/>
  <c r="P874" i="2"/>
  <c r="U874" i="2" s="1"/>
  <c r="O874" i="2"/>
  <c r="V874" i="2" s="1"/>
  <c r="N874" i="2"/>
  <c r="AP873" i="2"/>
  <c r="AN873" i="2"/>
  <c r="AI873" i="2"/>
  <c r="AC873" i="2"/>
  <c r="AB873" i="2"/>
  <c r="S873" i="2"/>
  <c r="P873" i="2"/>
  <c r="O873" i="2"/>
  <c r="V873" i="2" s="1"/>
  <c r="N873" i="2"/>
  <c r="AP872" i="2"/>
  <c r="AN872" i="2"/>
  <c r="AC872" i="2"/>
  <c r="AB872" i="2"/>
  <c r="S872" i="2"/>
  <c r="O872" i="2"/>
  <c r="N872" i="2"/>
  <c r="AP871" i="2"/>
  <c r="AN871" i="2"/>
  <c r="AI871" i="2"/>
  <c r="AH871" i="2"/>
  <c r="AC871" i="2"/>
  <c r="AB871" i="2"/>
  <c r="V871" i="2"/>
  <c r="S871" i="2"/>
  <c r="O871" i="2"/>
  <c r="P871" i="2" s="1"/>
  <c r="U871" i="2" s="1"/>
  <c r="AO871" i="2" s="1"/>
  <c r="N871" i="2"/>
  <c r="AE871" i="2" s="1"/>
  <c r="AP870" i="2"/>
  <c r="AN870" i="2"/>
  <c r="AC870" i="2"/>
  <c r="AB870" i="2"/>
  <c r="S870" i="2"/>
  <c r="O870" i="2"/>
  <c r="P870" i="2" s="1"/>
  <c r="U870" i="2" s="1"/>
  <c r="AO870" i="2" s="1"/>
  <c r="N870" i="2"/>
  <c r="V870" i="2" s="1"/>
  <c r="AP869" i="2"/>
  <c r="AN869" i="2"/>
  <c r="AH869" i="2"/>
  <c r="AG869" i="2"/>
  <c r="AF869" i="2"/>
  <c r="AE869" i="2"/>
  <c r="AC869" i="2"/>
  <c r="AB869" i="2"/>
  <c r="V869" i="2"/>
  <c r="U869" i="2"/>
  <c r="AO869" i="2" s="1"/>
  <c r="S869" i="2"/>
  <c r="P869" i="2"/>
  <c r="O869" i="2"/>
  <c r="N869" i="2"/>
  <c r="AI869" i="2" s="1"/>
  <c r="AP868" i="2"/>
  <c r="AN868" i="2"/>
  <c r="AC868" i="2"/>
  <c r="AB868" i="2"/>
  <c r="S868" i="2"/>
  <c r="O868" i="2"/>
  <c r="N868" i="2"/>
  <c r="AP867" i="2"/>
  <c r="AN867" i="2"/>
  <c r="AC867" i="2"/>
  <c r="AB867" i="2"/>
  <c r="S867" i="2"/>
  <c r="O867" i="2"/>
  <c r="V867" i="2" s="1"/>
  <c r="N867" i="2"/>
  <c r="AI867" i="2" s="1"/>
  <c r="AP866" i="2"/>
  <c r="AN866" i="2"/>
  <c r="AI866" i="2"/>
  <c r="AH866" i="2"/>
  <c r="AC866" i="2"/>
  <c r="AF866" i="2" s="1"/>
  <c r="AB866" i="2"/>
  <c r="S866" i="2"/>
  <c r="P866" i="2"/>
  <c r="U866" i="2" s="1"/>
  <c r="AO866" i="2" s="1"/>
  <c r="O866" i="2"/>
  <c r="V866" i="2" s="1"/>
  <c r="N866" i="2"/>
  <c r="AG866" i="2" s="1"/>
  <c r="AP865" i="2"/>
  <c r="AN865" i="2"/>
  <c r="AC865" i="2"/>
  <c r="AB865" i="2"/>
  <c r="AG865" i="2" s="1"/>
  <c r="V865" i="2"/>
  <c r="S865" i="2"/>
  <c r="O865" i="2"/>
  <c r="P865" i="2" s="1"/>
  <c r="U865" i="2" s="1"/>
  <c r="AO865" i="2" s="1"/>
  <c r="N865" i="2"/>
  <c r="AF865" i="2" s="1"/>
  <c r="AP864" i="2"/>
  <c r="AN864" i="2"/>
  <c r="AG864" i="2"/>
  <c r="AF864" i="2"/>
  <c r="AC864" i="2"/>
  <c r="AB864" i="2"/>
  <c r="V864" i="2"/>
  <c r="S864" i="2"/>
  <c r="W864" i="2" s="1"/>
  <c r="P864" i="2"/>
  <c r="U864" i="2" s="1"/>
  <c r="AO864" i="2" s="1"/>
  <c r="O864" i="2"/>
  <c r="N864" i="2"/>
  <c r="AE864" i="2" s="1"/>
  <c r="AP863" i="2"/>
  <c r="AN863" i="2"/>
  <c r="AI863" i="2"/>
  <c r="AG863" i="2"/>
  <c r="AF863" i="2"/>
  <c r="AC863" i="2"/>
  <c r="AB863" i="2"/>
  <c r="S863" i="2"/>
  <c r="O863" i="2"/>
  <c r="P863" i="2" s="1"/>
  <c r="U863" i="2" s="1"/>
  <c r="AO863" i="2" s="1"/>
  <c r="N863" i="2"/>
  <c r="AH863" i="2" s="1"/>
  <c r="AP862" i="2"/>
  <c r="AN862" i="2"/>
  <c r="AC862" i="2"/>
  <c r="AH862" i="2" s="1"/>
  <c r="AB862" i="2"/>
  <c r="S862" i="2"/>
  <c r="P862" i="2"/>
  <c r="U862" i="2" s="1"/>
  <c r="AO862" i="2" s="1"/>
  <c r="O862" i="2"/>
  <c r="N862" i="2"/>
  <c r="V862" i="2" s="1"/>
  <c r="AP861" i="2"/>
  <c r="AN861" i="2"/>
  <c r="AG861" i="2"/>
  <c r="AE861" i="2"/>
  <c r="AC861" i="2"/>
  <c r="AB861" i="2"/>
  <c r="AF861" i="2" s="1"/>
  <c r="S861" i="2"/>
  <c r="O861" i="2"/>
  <c r="N861" i="2"/>
  <c r="AP860" i="2"/>
  <c r="AN860" i="2"/>
  <c r="AC860" i="2"/>
  <c r="AB860" i="2"/>
  <c r="S860" i="2"/>
  <c r="O860" i="2"/>
  <c r="N860" i="2"/>
  <c r="AP859" i="2"/>
  <c r="AC859" i="2"/>
  <c r="AB859" i="2"/>
  <c r="S859" i="2"/>
  <c r="P859" i="2"/>
  <c r="O859" i="2"/>
  <c r="N859" i="2"/>
  <c r="AP858" i="2"/>
  <c r="AC858" i="2"/>
  <c r="AB858" i="2"/>
  <c r="S858" i="2"/>
  <c r="P858" i="2"/>
  <c r="U858" i="2" s="1"/>
  <c r="O858" i="2"/>
  <c r="N858" i="2"/>
  <c r="AP857" i="2"/>
  <c r="AN857" i="2"/>
  <c r="AH857" i="2"/>
  <c r="AG857" i="2"/>
  <c r="AE857" i="2"/>
  <c r="AC857" i="2"/>
  <c r="AB857" i="2"/>
  <c r="S857" i="2"/>
  <c r="O857" i="2"/>
  <c r="V857" i="2" s="1"/>
  <c r="N857" i="2"/>
  <c r="AF857" i="2" s="1"/>
  <c r="AP856" i="2"/>
  <c r="AN856" i="2"/>
  <c r="AH856" i="2"/>
  <c r="AG856" i="2"/>
  <c r="AC856" i="2"/>
  <c r="AB856" i="2"/>
  <c r="V856" i="2"/>
  <c r="S856" i="2"/>
  <c r="P856" i="2"/>
  <c r="U856" i="2" s="1"/>
  <c r="O856" i="2"/>
  <c r="N856" i="2"/>
  <c r="AP855" i="2"/>
  <c r="AN855" i="2"/>
  <c r="AE855" i="2"/>
  <c r="AC855" i="2"/>
  <c r="AB855" i="2"/>
  <c r="AI855" i="2" s="1"/>
  <c r="V855" i="2"/>
  <c r="S855" i="2"/>
  <c r="O855" i="2"/>
  <c r="P855" i="2" s="1"/>
  <c r="U855" i="2" s="1"/>
  <c r="N855" i="2"/>
  <c r="AP854" i="2"/>
  <c r="AC854" i="2"/>
  <c r="AB854" i="2"/>
  <c r="S854" i="2"/>
  <c r="P854" i="2"/>
  <c r="U854" i="2" s="1"/>
  <c r="O854" i="2"/>
  <c r="N854" i="2"/>
  <c r="AP853" i="2"/>
  <c r="AC853" i="2"/>
  <c r="AB853" i="2"/>
  <c r="V853" i="2"/>
  <c r="S853" i="2"/>
  <c r="P853" i="2"/>
  <c r="O853" i="2"/>
  <c r="N853" i="2"/>
  <c r="AP852" i="2"/>
  <c r="AN852" i="2"/>
  <c r="AC852" i="2"/>
  <c r="AB852" i="2"/>
  <c r="S852" i="2"/>
  <c r="O852" i="2"/>
  <c r="N852" i="2"/>
  <c r="AP851" i="2"/>
  <c r="AG851" i="2"/>
  <c r="AC851" i="2"/>
  <c r="AB851" i="2"/>
  <c r="V851" i="2"/>
  <c r="S851" i="2"/>
  <c r="O851" i="2"/>
  <c r="P851" i="2" s="1"/>
  <c r="U851" i="2" s="1"/>
  <c r="N851" i="2"/>
  <c r="AP850" i="2"/>
  <c r="AI850" i="2"/>
  <c r="AH850" i="2"/>
  <c r="AF850" i="2"/>
  <c r="AE850" i="2"/>
  <c r="AC850" i="2"/>
  <c r="AB850" i="2"/>
  <c r="S850" i="2"/>
  <c r="P850" i="2"/>
  <c r="U850" i="2" s="1"/>
  <c r="O850" i="2"/>
  <c r="V850" i="2" s="1"/>
  <c r="N850" i="2"/>
  <c r="AP849" i="2"/>
  <c r="AI849" i="2"/>
  <c r="AH849" i="2"/>
  <c r="AC849" i="2"/>
  <c r="AB849" i="2"/>
  <c r="S849" i="2"/>
  <c r="P849" i="2"/>
  <c r="U849" i="2" s="1"/>
  <c r="O849" i="2"/>
  <c r="AE849" i="2" s="1"/>
  <c r="N849" i="2"/>
  <c r="AP848" i="2"/>
  <c r="AG848" i="2"/>
  <c r="AF848" i="2"/>
  <c r="AC848" i="2"/>
  <c r="AB848" i="2"/>
  <c r="V848" i="2"/>
  <c r="S848" i="2"/>
  <c r="P848" i="2"/>
  <c r="U848" i="2" s="1"/>
  <c r="O848" i="2"/>
  <c r="N848" i="2"/>
  <c r="AP847" i="2"/>
  <c r="AI847" i="2"/>
  <c r="AG847" i="2"/>
  <c r="AF847" i="2"/>
  <c r="AC847" i="2"/>
  <c r="AB847" i="2"/>
  <c r="S847" i="2"/>
  <c r="O847" i="2"/>
  <c r="N847" i="2"/>
  <c r="AP846" i="2"/>
  <c r="AN846" i="2"/>
  <c r="AC846" i="2"/>
  <c r="AB846" i="2"/>
  <c r="S846" i="2"/>
  <c r="P846" i="2"/>
  <c r="U846" i="2" s="1"/>
  <c r="O846" i="2"/>
  <c r="N846" i="2"/>
  <c r="AP845" i="2"/>
  <c r="AG845" i="2"/>
  <c r="AE845" i="2"/>
  <c r="AC845" i="2"/>
  <c r="AB845" i="2"/>
  <c r="S845" i="2"/>
  <c r="P845" i="2"/>
  <c r="U845" i="2" s="1"/>
  <c r="O845" i="2"/>
  <c r="V845" i="2" s="1"/>
  <c r="N845" i="2"/>
  <c r="AP844" i="2"/>
  <c r="AH844" i="2"/>
  <c r="AG844" i="2"/>
  <c r="AF844" i="2"/>
  <c r="AC844" i="2"/>
  <c r="AB844" i="2"/>
  <c r="S844" i="2"/>
  <c r="P844" i="2"/>
  <c r="U844" i="2" s="1"/>
  <c r="O844" i="2"/>
  <c r="V844" i="2" s="1"/>
  <c r="N844" i="2"/>
  <c r="AI844" i="2" s="1"/>
  <c r="AP843" i="2"/>
  <c r="AN843" i="2"/>
  <c r="AI843" i="2"/>
  <c r="AC843" i="2"/>
  <c r="AB843" i="2"/>
  <c r="S843" i="2"/>
  <c r="P843" i="2"/>
  <c r="U843" i="2" s="1"/>
  <c r="O843" i="2"/>
  <c r="N843" i="2"/>
  <c r="AH843" i="2" s="1"/>
  <c r="AP842" i="2"/>
  <c r="AC842" i="2"/>
  <c r="AB842" i="2"/>
  <c r="S842" i="2"/>
  <c r="P842" i="2"/>
  <c r="U842" i="2" s="1"/>
  <c r="O842" i="2"/>
  <c r="V842" i="2" s="1"/>
  <c r="N842" i="2"/>
  <c r="AP841" i="2"/>
  <c r="AC841" i="2"/>
  <c r="AB841" i="2"/>
  <c r="S841" i="2"/>
  <c r="O841" i="2"/>
  <c r="V841" i="2" s="1"/>
  <c r="N841" i="2"/>
  <c r="AP840" i="2"/>
  <c r="AN840" i="2"/>
  <c r="AC840" i="2"/>
  <c r="AB840" i="2"/>
  <c r="V840" i="2"/>
  <c r="S840" i="2"/>
  <c r="O840" i="2"/>
  <c r="P840" i="2" s="1"/>
  <c r="U840" i="2" s="1"/>
  <c r="N840" i="2"/>
  <c r="AP839" i="2"/>
  <c r="AC839" i="2"/>
  <c r="AB839" i="2"/>
  <c r="S839" i="2"/>
  <c r="O839" i="2"/>
  <c r="N839" i="2"/>
  <c r="AP838" i="2"/>
  <c r="AI838" i="2"/>
  <c r="AE838" i="2"/>
  <c r="AC838" i="2"/>
  <c r="AB838" i="2"/>
  <c r="V838" i="2"/>
  <c r="S838" i="2"/>
  <c r="P838" i="2"/>
  <c r="U838" i="2" s="1"/>
  <c r="AO838" i="2" s="1"/>
  <c r="O838" i="2"/>
  <c r="N838" i="2"/>
  <c r="AG838" i="2" s="1"/>
  <c r="AP837" i="2"/>
  <c r="AC837" i="2"/>
  <c r="AB837" i="2"/>
  <c r="V837" i="2"/>
  <c r="S837" i="2"/>
  <c r="P837" i="2"/>
  <c r="O837" i="2"/>
  <c r="N837" i="2"/>
  <c r="AP836" i="2"/>
  <c r="AN836" i="2"/>
  <c r="AG836" i="2"/>
  <c r="AF836" i="2"/>
  <c r="AC836" i="2"/>
  <c r="AH836" i="2" s="1"/>
  <c r="AB836" i="2"/>
  <c r="S836" i="2"/>
  <c r="O836" i="2"/>
  <c r="P836" i="2" s="1"/>
  <c r="U836" i="2" s="1"/>
  <c r="N836" i="2"/>
  <c r="AP835" i="2"/>
  <c r="AI835" i="2"/>
  <c r="AG835" i="2"/>
  <c r="AC835" i="2"/>
  <c r="AB835" i="2"/>
  <c r="S835" i="2"/>
  <c r="O835" i="2"/>
  <c r="N835" i="2"/>
  <c r="AP834" i="2"/>
  <c r="AN834" i="2"/>
  <c r="AC834" i="2"/>
  <c r="AB834" i="2"/>
  <c r="S834" i="2"/>
  <c r="P834" i="2"/>
  <c r="U834" i="2" s="1"/>
  <c r="O834" i="2"/>
  <c r="V834" i="2" s="1"/>
  <c r="N834" i="2"/>
  <c r="AG834" i="2" s="1"/>
  <c r="AP833" i="2"/>
  <c r="AC833" i="2"/>
  <c r="AB833" i="2"/>
  <c r="S833" i="2"/>
  <c r="O833" i="2"/>
  <c r="N833" i="2"/>
  <c r="AF833" i="2" s="1"/>
  <c r="AP832" i="2"/>
  <c r="AN832" i="2"/>
  <c r="AI832" i="2"/>
  <c r="AC832" i="2"/>
  <c r="AB832" i="2"/>
  <c r="AG832" i="2" s="1"/>
  <c r="V832" i="2"/>
  <c r="S832" i="2"/>
  <c r="O832" i="2"/>
  <c r="P832" i="2" s="1"/>
  <c r="U832" i="2" s="1"/>
  <c r="N832" i="2"/>
  <c r="AP831" i="2"/>
  <c r="AN831" i="2"/>
  <c r="AC831" i="2"/>
  <c r="AB831" i="2"/>
  <c r="S831" i="2"/>
  <c r="O831" i="2"/>
  <c r="N831" i="2"/>
  <c r="AI831" i="2" s="1"/>
  <c r="AP830" i="2"/>
  <c r="AN830" i="2"/>
  <c r="AI830" i="2"/>
  <c r="AC830" i="2"/>
  <c r="AB830" i="2"/>
  <c r="S830" i="2"/>
  <c r="P830" i="2"/>
  <c r="U830" i="2" s="1"/>
  <c r="O830" i="2"/>
  <c r="N830" i="2"/>
  <c r="AP829" i="2"/>
  <c r="AN829" i="2"/>
  <c r="AI829" i="2"/>
  <c r="AH829" i="2"/>
  <c r="AG829" i="2"/>
  <c r="AC829" i="2"/>
  <c r="AB829" i="2"/>
  <c r="S829" i="2"/>
  <c r="O829" i="2"/>
  <c r="N829" i="2"/>
  <c r="AP828" i="2"/>
  <c r="AC828" i="2"/>
  <c r="AB828" i="2"/>
  <c r="S828" i="2"/>
  <c r="O828" i="2"/>
  <c r="P828" i="2" s="1"/>
  <c r="U828" i="2" s="1"/>
  <c r="N828" i="2"/>
  <c r="AP827" i="2"/>
  <c r="AN827" i="2"/>
  <c r="AI827" i="2"/>
  <c r="AG827" i="2"/>
  <c r="AC827" i="2"/>
  <c r="AB827" i="2"/>
  <c r="V827" i="2"/>
  <c r="S827" i="2"/>
  <c r="P827" i="2"/>
  <c r="U827" i="2" s="1"/>
  <c r="O827" i="2"/>
  <c r="N827" i="2"/>
  <c r="AH827" i="2" s="1"/>
  <c r="AP826" i="2"/>
  <c r="AN826" i="2"/>
  <c r="AC826" i="2"/>
  <c r="AB826" i="2"/>
  <c r="S826" i="2"/>
  <c r="P826" i="2"/>
  <c r="O826" i="2"/>
  <c r="V826" i="2" s="1"/>
  <c r="N826" i="2"/>
  <c r="AP825" i="2"/>
  <c r="AH825" i="2"/>
  <c r="AG825" i="2"/>
  <c r="AC825" i="2"/>
  <c r="AB825" i="2"/>
  <c r="S825" i="2"/>
  <c r="P825" i="2"/>
  <c r="U825" i="2" s="1"/>
  <c r="O825" i="2"/>
  <c r="N825" i="2"/>
  <c r="AP824" i="2"/>
  <c r="AN824" i="2"/>
  <c r="AH824" i="2"/>
  <c r="AG824" i="2"/>
  <c r="AF824" i="2"/>
  <c r="AE824" i="2"/>
  <c r="AC824" i="2"/>
  <c r="AB824" i="2"/>
  <c r="V824" i="2"/>
  <c r="S824" i="2"/>
  <c r="P824" i="2"/>
  <c r="U824" i="2" s="1"/>
  <c r="O824" i="2"/>
  <c r="N824" i="2"/>
  <c r="AI824" i="2" s="1"/>
  <c r="AP823" i="2"/>
  <c r="AN823" i="2"/>
  <c r="AI823" i="2"/>
  <c r="AE823" i="2"/>
  <c r="AC823" i="2"/>
  <c r="AB823" i="2"/>
  <c r="V823" i="2"/>
  <c r="S823" i="2"/>
  <c r="P823" i="2"/>
  <c r="U823" i="2" s="1"/>
  <c r="O823" i="2"/>
  <c r="N823" i="2"/>
  <c r="AP822" i="2"/>
  <c r="I16" i="1" s="1"/>
  <c r="AC822" i="2"/>
  <c r="AB822" i="2"/>
  <c r="S822" i="2"/>
  <c r="P822" i="2"/>
  <c r="U822" i="2" s="1"/>
  <c r="O822" i="2"/>
  <c r="N822" i="2"/>
  <c r="AP821" i="2"/>
  <c r="AN821" i="2"/>
  <c r="AC821" i="2"/>
  <c r="AB821" i="2"/>
  <c r="AE821" i="2" s="1"/>
  <c r="S821" i="2"/>
  <c r="O821" i="2"/>
  <c r="V821" i="2" s="1"/>
  <c r="N821" i="2"/>
  <c r="AI821" i="2" s="1"/>
  <c r="AP820" i="2"/>
  <c r="AN820" i="2"/>
  <c r="AC820" i="2"/>
  <c r="AB820" i="2"/>
  <c r="S820" i="2"/>
  <c r="P820" i="2"/>
  <c r="U820" i="2" s="1"/>
  <c r="O820" i="2"/>
  <c r="V820" i="2" s="1"/>
  <c r="N820" i="2"/>
  <c r="AP819" i="2"/>
  <c r="AN819" i="2"/>
  <c r="AE819" i="2"/>
  <c r="AC819" i="2"/>
  <c r="AB819" i="2"/>
  <c r="AI819" i="2" s="1"/>
  <c r="V819" i="2"/>
  <c r="S819" i="2"/>
  <c r="W819" i="2" s="1"/>
  <c r="X819" i="2" s="1"/>
  <c r="O819" i="2"/>
  <c r="P819" i="2" s="1"/>
  <c r="U819" i="2" s="1"/>
  <c r="N819" i="2"/>
  <c r="AF819" i="2" s="1"/>
  <c r="AP818" i="2"/>
  <c r="AN818" i="2"/>
  <c r="AH818" i="2"/>
  <c r="AG818" i="2"/>
  <c r="AF818" i="2"/>
  <c r="AC818" i="2"/>
  <c r="AB818" i="2"/>
  <c r="S818" i="2"/>
  <c r="P818" i="2"/>
  <c r="U818" i="2" s="1"/>
  <c r="O818" i="2"/>
  <c r="N818" i="2"/>
  <c r="AE818" i="2" s="1"/>
  <c r="AP817" i="2"/>
  <c r="AN817" i="2"/>
  <c r="AC817" i="2"/>
  <c r="AB817" i="2"/>
  <c r="V817" i="2"/>
  <c r="S817" i="2"/>
  <c r="O817" i="2"/>
  <c r="P817" i="2" s="1"/>
  <c r="U817" i="2" s="1"/>
  <c r="N817" i="2"/>
  <c r="AP816" i="2"/>
  <c r="AN816" i="2"/>
  <c r="AC816" i="2"/>
  <c r="AB816" i="2"/>
  <c r="S816" i="2"/>
  <c r="P816" i="2"/>
  <c r="U816" i="2" s="1"/>
  <c r="AO816" i="2" s="1"/>
  <c r="O816" i="2"/>
  <c r="N816" i="2"/>
  <c r="AP815" i="2"/>
  <c r="AN815" i="2"/>
  <c r="AC815" i="2"/>
  <c r="AB815" i="2"/>
  <c r="AF815" i="2" s="1"/>
  <c r="S815" i="2"/>
  <c r="O815" i="2"/>
  <c r="N815" i="2"/>
  <c r="AI815" i="2" s="1"/>
  <c r="AP814" i="2"/>
  <c r="AN814" i="2"/>
  <c r="AC814" i="2"/>
  <c r="AB814" i="2"/>
  <c r="S814" i="2"/>
  <c r="P814" i="2"/>
  <c r="U814" i="2" s="1"/>
  <c r="O814" i="2"/>
  <c r="V814" i="2" s="1"/>
  <c r="N814" i="2"/>
  <c r="AP813" i="2"/>
  <c r="AN813" i="2"/>
  <c r="AC813" i="2"/>
  <c r="AB813" i="2"/>
  <c r="S813" i="2"/>
  <c r="O813" i="2"/>
  <c r="P813" i="2" s="1"/>
  <c r="U813" i="2" s="1"/>
  <c r="N813" i="2"/>
  <c r="AP812" i="2"/>
  <c r="AN812" i="2"/>
  <c r="AF812" i="2"/>
  <c r="AC812" i="2"/>
  <c r="AB812" i="2"/>
  <c r="S812" i="2"/>
  <c r="P812" i="2"/>
  <c r="U812" i="2" s="1"/>
  <c r="O812" i="2"/>
  <c r="V812" i="2" s="1"/>
  <c r="N812" i="2"/>
  <c r="AI812" i="2" s="1"/>
  <c r="AP811" i="2"/>
  <c r="AN811" i="2"/>
  <c r="AI811" i="2"/>
  <c r="AH811" i="2"/>
  <c r="AG811" i="2"/>
  <c r="AC811" i="2"/>
  <c r="AB811" i="2"/>
  <c r="S811" i="2"/>
  <c r="O811" i="2"/>
  <c r="N811" i="2"/>
  <c r="AP810" i="2"/>
  <c r="AN810" i="2"/>
  <c r="AC810" i="2"/>
  <c r="AB810" i="2"/>
  <c r="V810" i="2"/>
  <c r="S810" i="2"/>
  <c r="P810" i="2"/>
  <c r="U810" i="2" s="1"/>
  <c r="O810" i="2"/>
  <c r="N810" i="2"/>
  <c r="AI810" i="2" s="1"/>
  <c r="AP809" i="2"/>
  <c r="AN809" i="2"/>
  <c r="AC809" i="2"/>
  <c r="AB809" i="2"/>
  <c r="S809" i="2"/>
  <c r="O809" i="2"/>
  <c r="N809" i="2"/>
  <c r="AP808" i="2"/>
  <c r="AN808" i="2"/>
  <c r="AH808" i="2"/>
  <c r="AG808" i="2"/>
  <c r="AF808" i="2"/>
  <c r="AE808" i="2"/>
  <c r="AC808" i="2"/>
  <c r="AB808" i="2"/>
  <c r="V808" i="2"/>
  <c r="S808" i="2"/>
  <c r="P808" i="2"/>
  <c r="U808" i="2" s="1"/>
  <c r="O808" i="2"/>
  <c r="N808" i="2"/>
  <c r="AI808" i="2" s="1"/>
  <c r="AP807" i="2"/>
  <c r="AN807" i="2"/>
  <c r="AG807" i="2"/>
  <c r="AC807" i="2"/>
  <c r="AB807" i="2"/>
  <c r="V807" i="2"/>
  <c r="S807" i="2"/>
  <c r="P807" i="2"/>
  <c r="U807" i="2" s="1"/>
  <c r="O807" i="2"/>
  <c r="N807" i="2"/>
  <c r="AP806" i="2"/>
  <c r="AN806" i="2"/>
  <c r="AC806" i="2"/>
  <c r="AB806" i="2"/>
  <c r="S806" i="2"/>
  <c r="O806" i="2"/>
  <c r="N806" i="2"/>
  <c r="AP805" i="2"/>
  <c r="AN805" i="2"/>
  <c r="AC805" i="2"/>
  <c r="AB805" i="2"/>
  <c r="AG805" i="2" s="1"/>
  <c r="S805" i="2"/>
  <c r="O805" i="2"/>
  <c r="V805" i="2" s="1"/>
  <c r="N805" i="2"/>
  <c r="AP804" i="2"/>
  <c r="AN804" i="2"/>
  <c r="AI804" i="2"/>
  <c r="AH804" i="2"/>
  <c r="AC804" i="2"/>
  <c r="AB804" i="2"/>
  <c r="S804" i="2"/>
  <c r="P804" i="2"/>
  <c r="U804" i="2" s="1"/>
  <c r="O804" i="2"/>
  <c r="V804" i="2" s="1"/>
  <c r="N804" i="2"/>
  <c r="AP803" i="2"/>
  <c r="AN803" i="2"/>
  <c r="AC803" i="2"/>
  <c r="AB803" i="2"/>
  <c r="V803" i="2"/>
  <c r="S803" i="2"/>
  <c r="O803" i="2"/>
  <c r="P803" i="2" s="1"/>
  <c r="U803" i="2" s="1"/>
  <c r="N803" i="2"/>
  <c r="AF803" i="2" s="1"/>
  <c r="AP802" i="2"/>
  <c r="AN802" i="2"/>
  <c r="AC802" i="2"/>
  <c r="AB802" i="2"/>
  <c r="S802" i="2"/>
  <c r="P802" i="2"/>
  <c r="U802" i="2" s="1"/>
  <c r="O802" i="2"/>
  <c r="N802" i="2"/>
  <c r="AP801" i="2"/>
  <c r="AN801" i="2"/>
  <c r="AG801" i="2"/>
  <c r="AC801" i="2"/>
  <c r="AB801" i="2"/>
  <c r="V801" i="2"/>
  <c r="S801" i="2"/>
  <c r="O801" i="2"/>
  <c r="P801" i="2" s="1"/>
  <c r="U801" i="2" s="1"/>
  <c r="N801" i="2"/>
  <c r="AP800" i="2"/>
  <c r="AN800" i="2"/>
  <c r="AE800" i="2"/>
  <c r="AC800" i="2"/>
  <c r="AH800" i="2" s="1"/>
  <c r="AB800" i="2"/>
  <c r="S800" i="2"/>
  <c r="P800" i="2"/>
  <c r="U800" i="2" s="1"/>
  <c r="O800" i="2"/>
  <c r="N800" i="2"/>
  <c r="AP799" i="2"/>
  <c r="AN799" i="2"/>
  <c r="AE799" i="2"/>
  <c r="AC799" i="2"/>
  <c r="AB799" i="2"/>
  <c r="AF799" i="2" s="1"/>
  <c r="V799" i="2"/>
  <c r="S799" i="2"/>
  <c r="P799" i="2"/>
  <c r="U799" i="2" s="1"/>
  <c r="O799" i="2"/>
  <c r="AG799" i="2" s="1"/>
  <c r="N799" i="2"/>
  <c r="AI799" i="2" s="1"/>
  <c r="AP798" i="2"/>
  <c r="AN798" i="2"/>
  <c r="AC798" i="2"/>
  <c r="AB798" i="2"/>
  <c r="S798" i="2"/>
  <c r="P798" i="2"/>
  <c r="U798" i="2" s="1"/>
  <c r="O798" i="2"/>
  <c r="V798" i="2" s="1"/>
  <c r="N798" i="2"/>
  <c r="AI798" i="2" s="1"/>
  <c r="AP797" i="2"/>
  <c r="AN797" i="2"/>
  <c r="AC797" i="2"/>
  <c r="AB797" i="2"/>
  <c r="S797" i="2"/>
  <c r="O797" i="2"/>
  <c r="P797" i="2" s="1"/>
  <c r="U797" i="2" s="1"/>
  <c r="N797" i="2"/>
  <c r="AP796" i="2"/>
  <c r="AN796" i="2"/>
  <c r="AC796" i="2"/>
  <c r="AB796" i="2"/>
  <c r="S796" i="2"/>
  <c r="P796" i="2"/>
  <c r="U796" i="2" s="1"/>
  <c r="O796" i="2"/>
  <c r="V796" i="2" s="1"/>
  <c r="N796" i="2"/>
  <c r="AP795" i="2"/>
  <c r="AN795" i="2"/>
  <c r="AI795" i="2"/>
  <c r="AH795" i="2"/>
  <c r="AC795" i="2"/>
  <c r="AB795" i="2"/>
  <c r="S795" i="2"/>
  <c r="O795" i="2"/>
  <c r="N795" i="2"/>
  <c r="AP794" i="2"/>
  <c r="AN794" i="2"/>
  <c r="AH794" i="2"/>
  <c r="AC794" i="2"/>
  <c r="AG794" i="2" s="1"/>
  <c r="AB794" i="2"/>
  <c r="V794" i="2"/>
  <c r="S794" i="2"/>
  <c r="P794" i="2"/>
  <c r="U794" i="2" s="1"/>
  <c r="O794" i="2"/>
  <c r="N794" i="2"/>
  <c r="AI794" i="2" s="1"/>
  <c r="AP793" i="2"/>
  <c r="AN793" i="2"/>
  <c r="AI793" i="2"/>
  <c r="AG793" i="2"/>
  <c r="AF793" i="2"/>
  <c r="AE793" i="2"/>
  <c r="AC793" i="2"/>
  <c r="AB793" i="2"/>
  <c r="V793" i="2"/>
  <c r="S793" i="2"/>
  <c r="O793" i="2"/>
  <c r="N793" i="2"/>
  <c r="AP792" i="2"/>
  <c r="AN792" i="2"/>
  <c r="AH792" i="2"/>
  <c r="AG792" i="2"/>
  <c r="AF792" i="2"/>
  <c r="AE792" i="2"/>
  <c r="AC792" i="2"/>
  <c r="AB792" i="2"/>
  <c r="V792" i="2"/>
  <c r="S792" i="2"/>
  <c r="P792" i="2"/>
  <c r="U792" i="2" s="1"/>
  <c r="O792" i="2"/>
  <c r="N792" i="2"/>
  <c r="AI792" i="2" s="1"/>
  <c r="AP791" i="2"/>
  <c r="AN791" i="2"/>
  <c r="AC791" i="2"/>
  <c r="AB791" i="2"/>
  <c r="V791" i="2"/>
  <c r="S791" i="2"/>
  <c r="P791" i="2"/>
  <c r="U791" i="2" s="1"/>
  <c r="O791" i="2"/>
  <c r="N791" i="2"/>
  <c r="AP790" i="2"/>
  <c r="AN790" i="2"/>
  <c r="AC790" i="2"/>
  <c r="AB790" i="2"/>
  <c r="S790" i="2"/>
  <c r="P790" i="2"/>
  <c r="U790" i="2" s="1"/>
  <c r="O790" i="2"/>
  <c r="N790" i="2"/>
  <c r="AP789" i="2"/>
  <c r="AN789" i="2"/>
  <c r="AE789" i="2"/>
  <c r="AC789" i="2"/>
  <c r="AB789" i="2"/>
  <c r="S789" i="2"/>
  <c r="O789" i="2"/>
  <c r="N789" i="2"/>
  <c r="AI789" i="2" s="1"/>
  <c r="AP788" i="2"/>
  <c r="AN788" i="2"/>
  <c r="AC788" i="2"/>
  <c r="AB788" i="2"/>
  <c r="S788" i="2"/>
  <c r="P788" i="2"/>
  <c r="U788" i="2" s="1"/>
  <c r="O788" i="2"/>
  <c r="N788" i="2"/>
  <c r="AP787" i="2"/>
  <c r="AN787" i="2"/>
  <c r="AI787" i="2"/>
  <c r="AH787" i="2"/>
  <c r="AC787" i="2"/>
  <c r="AB787" i="2"/>
  <c r="AG787" i="2" s="1"/>
  <c r="V787" i="2"/>
  <c r="S787" i="2"/>
  <c r="O787" i="2"/>
  <c r="P787" i="2" s="1"/>
  <c r="U787" i="2" s="1"/>
  <c r="N787" i="2"/>
  <c r="AF787" i="2" s="1"/>
  <c r="AP786" i="2"/>
  <c r="AN786" i="2"/>
  <c r="AI786" i="2"/>
  <c r="AC786" i="2"/>
  <c r="AB786" i="2"/>
  <c r="S786" i="2"/>
  <c r="P786" i="2"/>
  <c r="U786" i="2" s="1"/>
  <c r="O786" i="2"/>
  <c r="N786" i="2"/>
  <c r="AP785" i="2"/>
  <c r="AN785" i="2"/>
  <c r="AG785" i="2"/>
  <c r="AC785" i="2"/>
  <c r="AB785" i="2"/>
  <c r="V785" i="2"/>
  <c r="S785" i="2"/>
  <c r="O785" i="2"/>
  <c r="P785" i="2" s="1"/>
  <c r="U785" i="2" s="1"/>
  <c r="N785" i="2"/>
  <c r="AP784" i="2"/>
  <c r="AN784" i="2"/>
  <c r="AH784" i="2"/>
  <c r="AG784" i="2"/>
  <c r="AC784" i="2"/>
  <c r="AB784" i="2"/>
  <c r="S784" i="2"/>
  <c r="P784" i="2"/>
  <c r="U784" i="2" s="1"/>
  <c r="O784" i="2"/>
  <c r="V784" i="2" s="1"/>
  <c r="N784" i="2"/>
  <c r="AI784" i="2" s="1"/>
  <c r="AP783" i="2"/>
  <c r="AN783" i="2"/>
  <c r="AC783" i="2"/>
  <c r="AB783" i="2"/>
  <c r="S783" i="2"/>
  <c r="O783" i="2"/>
  <c r="N783" i="2"/>
  <c r="AI783" i="2" s="1"/>
  <c r="AP782" i="2"/>
  <c r="AN782" i="2"/>
  <c r="AC782" i="2"/>
  <c r="AB782" i="2"/>
  <c r="S782" i="2"/>
  <c r="O782" i="2"/>
  <c r="N782" i="2"/>
  <c r="AI782" i="2" s="1"/>
  <c r="AP781" i="2"/>
  <c r="AN781" i="2"/>
  <c r="AC781" i="2"/>
  <c r="AB781" i="2"/>
  <c r="S781" i="2"/>
  <c r="P781" i="2"/>
  <c r="U781" i="2" s="1"/>
  <c r="O781" i="2"/>
  <c r="N781" i="2"/>
  <c r="AP780" i="2"/>
  <c r="AN780" i="2"/>
  <c r="AC780" i="2"/>
  <c r="AB780" i="2"/>
  <c r="S780" i="2"/>
  <c r="P780" i="2"/>
  <c r="U780" i="2" s="1"/>
  <c r="O780" i="2"/>
  <c r="V780" i="2" s="1"/>
  <c r="N780" i="2"/>
  <c r="AP779" i="2"/>
  <c r="AN779" i="2"/>
  <c r="AC779" i="2"/>
  <c r="AB779" i="2"/>
  <c r="S779" i="2"/>
  <c r="O779" i="2"/>
  <c r="N779" i="2"/>
  <c r="AP778" i="2"/>
  <c r="AN778" i="2"/>
  <c r="AC778" i="2"/>
  <c r="AB778" i="2"/>
  <c r="V778" i="2"/>
  <c r="S778" i="2"/>
  <c r="P778" i="2"/>
  <c r="U778" i="2" s="1"/>
  <c r="O778" i="2"/>
  <c r="N778" i="2"/>
  <c r="AP777" i="2"/>
  <c r="AN777" i="2"/>
  <c r="AG777" i="2"/>
  <c r="AF777" i="2"/>
  <c r="AE777" i="2"/>
  <c r="AC777" i="2"/>
  <c r="AB777" i="2"/>
  <c r="V777" i="2"/>
  <c r="S777" i="2"/>
  <c r="O777" i="2"/>
  <c r="P777" i="2" s="1"/>
  <c r="U777" i="2" s="1"/>
  <c r="N777" i="2"/>
  <c r="AI777" i="2" s="1"/>
  <c r="AP776" i="2"/>
  <c r="AN776" i="2"/>
  <c r="AH776" i="2"/>
  <c r="AG776" i="2"/>
  <c r="AF776" i="2"/>
  <c r="AE776" i="2"/>
  <c r="AC776" i="2"/>
  <c r="AB776" i="2"/>
  <c r="V776" i="2"/>
  <c r="S776" i="2"/>
  <c r="P776" i="2"/>
  <c r="U776" i="2" s="1"/>
  <c r="O776" i="2"/>
  <c r="N776" i="2"/>
  <c r="AI776" i="2" s="1"/>
  <c r="AP775" i="2"/>
  <c r="AN775" i="2"/>
  <c r="AI775" i="2"/>
  <c r="AH775" i="2"/>
  <c r="AG775" i="2"/>
  <c r="AF775" i="2"/>
  <c r="AE775" i="2"/>
  <c r="AC775" i="2"/>
  <c r="AB775" i="2"/>
  <c r="V775" i="2"/>
  <c r="S775" i="2"/>
  <c r="P775" i="2"/>
  <c r="O775" i="2"/>
  <c r="N775" i="2"/>
  <c r="AP774" i="2"/>
  <c r="AN774" i="2"/>
  <c r="AF774" i="2"/>
  <c r="AC774" i="2"/>
  <c r="AB774" i="2"/>
  <c r="S774" i="2"/>
  <c r="P774" i="2"/>
  <c r="U774" i="2" s="1"/>
  <c r="O774" i="2"/>
  <c r="N774" i="2"/>
  <c r="AP773" i="2"/>
  <c r="AN773" i="2"/>
  <c r="AG773" i="2"/>
  <c r="AF773" i="2"/>
  <c r="AE773" i="2"/>
  <c r="AC773" i="2"/>
  <c r="AB773" i="2"/>
  <c r="S773" i="2"/>
  <c r="O773" i="2"/>
  <c r="N773" i="2"/>
  <c r="AP772" i="2"/>
  <c r="AN772" i="2"/>
  <c r="AI772" i="2"/>
  <c r="AH772" i="2"/>
  <c r="AC772" i="2"/>
  <c r="AB772" i="2"/>
  <c r="S772" i="2"/>
  <c r="P772" i="2"/>
  <c r="U772" i="2" s="1"/>
  <c r="O772" i="2"/>
  <c r="N772" i="2"/>
  <c r="AP771" i="2"/>
  <c r="AN771" i="2"/>
  <c r="AI771" i="2"/>
  <c r="AC771" i="2"/>
  <c r="AB771" i="2"/>
  <c r="S771" i="2"/>
  <c r="P771" i="2"/>
  <c r="U771" i="2" s="1"/>
  <c r="O771" i="2"/>
  <c r="N771" i="2"/>
  <c r="AF771" i="2" s="1"/>
  <c r="AP770" i="2"/>
  <c r="AN770" i="2"/>
  <c r="AC770" i="2"/>
  <c r="AB770" i="2"/>
  <c r="V770" i="2"/>
  <c r="S770" i="2"/>
  <c r="O770" i="2"/>
  <c r="P770" i="2" s="1"/>
  <c r="U770" i="2" s="1"/>
  <c r="N770" i="2"/>
  <c r="AP769" i="2"/>
  <c r="AN769" i="2"/>
  <c r="AI769" i="2"/>
  <c r="AH769" i="2"/>
  <c r="AF769" i="2"/>
  <c r="AE769" i="2"/>
  <c r="AC769" i="2"/>
  <c r="AB769" i="2"/>
  <c r="S769" i="2"/>
  <c r="P769" i="2"/>
  <c r="U769" i="2" s="1"/>
  <c r="O769" i="2"/>
  <c r="V769" i="2" s="1"/>
  <c r="N769" i="2"/>
  <c r="AG769" i="2" s="1"/>
  <c r="AP768" i="2"/>
  <c r="AN768" i="2"/>
  <c r="AC768" i="2"/>
  <c r="AB768" i="2"/>
  <c r="V768" i="2"/>
  <c r="S768" i="2"/>
  <c r="P768" i="2"/>
  <c r="U768" i="2" s="1"/>
  <c r="O768" i="2"/>
  <c r="N768" i="2"/>
  <c r="AG768" i="2" s="1"/>
  <c r="AP767" i="2"/>
  <c r="AN767" i="2"/>
  <c r="AC767" i="2"/>
  <c r="AB767" i="2"/>
  <c r="S767" i="2"/>
  <c r="O767" i="2"/>
  <c r="N767" i="2"/>
  <c r="AI767" i="2" s="1"/>
  <c r="AP766" i="2"/>
  <c r="AN766" i="2"/>
  <c r="AC766" i="2"/>
  <c r="AB766" i="2"/>
  <c r="S766" i="2"/>
  <c r="O766" i="2"/>
  <c r="P766" i="2" s="1"/>
  <c r="U766" i="2" s="1"/>
  <c r="N766" i="2"/>
  <c r="AP765" i="2"/>
  <c r="AN765" i="2"/>
  <c r="AH765" i="2"/>
  <c r="AF765" i="2"/>
  <c r="AC765" i="2"/>
  <c r="AB765" i="2"/>
  <c r="S765" i="2"/>
  <c r="O765" i="2"/>
  <c r="V765" i="2" s="1"/>
  <c r="N765" i="2"/>
  <c r="AP764" i="2"/>
  <c r="AN764" i="2"/>
  <c r="AI764" i="2"/>
  <c r="AC764" i="2"/>
  <c r="AB764" i="2"/>
  <c r="V764" i="2"/>
  <c r="S764" i="2"/>
  <c r="P764" i="2"/>
  <c r="U764" i="2" s="1"/>
  <c r="O764" i="2"/>
  <c r="AH764" i="2" s="1"/>
  <c r="N764" i="2"/>
  <c r="AP763" i="2"/>
  <c r="AN763" i="2"/>
  <c r="AC763" i="2"/>
  <c r="AB763" i="2"/>
  <c r="V763" i="2"/>
  <c r="S763" i="2"/>
  <c r="W763" i="2" s="1"/>
  <c r="O763" i="2"/>
  <c r="P763" i="2" s="1"/>
  <c r="N763" i="2"/>
  <c r="AP762" i="2"/>
  <c r="AN762" i="2"/>
  <c r="AI762" i="2"/>
  <c r="AH762" i="2"/>
  <c r="AG762" i="2"/>
  <c r="AF762" i="2"/>
  <c r="AC762" i="2"/>
  <c r="AB762" i="2"/>
  <c r="S762" i="2"/>
  <c r="O762" i="2"/>
  <c r="N762" i="2"/>
  <c r="AP761" i="2"/>
  <c r="AN761" i="2"/>
  <c r="AC761" i="2"/>
  <c r="AE761" i="2" s="1"/>
  <c r="AB761" i="2"/>
  <c r="AI761" i="2" s="1"/>
  <c r="V761" i="2"/>
  <c r="S761" i="2"/>
  <c r="O761" i="2"/>
  <c r="P761" i="2" s="1"/>
  <c r="U761" i="2" s="1"/>
  <c r="N761" i="2"/>
  <c r="AP760" i="2"/>
  <c r="AN760" i="2"/>
  <c r="AC760" i="2"/>
  <c r="AB760" i="2"/>
  <c r="S760" i="2"/>
  <c r="O760" i="2"/>
  <c r="V760" i="2" s="1"/>
  <c r="N760" i="2"/>
  <c r="AP759" i="2"/>
  <c r="AN759" i="2"/>
  <c r="AC759" i="2"/>
  <c r="AB759" i="2"/>
  <c r="V759" i="2"/>
  <c r="S759" i="2"/>
  <c r="O759" i="2"/>
  <c r="P759" i="2" s="1"/>
  <c r="U759" i="2" s="1"/>
  <c r="N759" i="2"/>
  <c r="AP758" i="2"/>
  <c r="AN758" i="2"/>
  <c r="AC758" i="2"/>
  <c r="AB758" i="2"/>
  <c r="S758" i="2"/>
  <c r="P758" i="2"/>
  <c r="O758" i="2"/>
  <c r="N758" i="2"/>
  <c r="AG758" i="2" s="1"/>
  <c r="AP757" i="2"/>
  <c r="AN757" i="2"/>
  <c r="AC757" i="2"/>
  <c r="AB757" i="2"/>
  <c r="S757" i="2"/>
  <c r="P757" i="2"/>
  <c r="U757" i="2" s="1"/>
  <c r="O757" i="2"/>
  <c r="V757" i="2" s="1"/>
  <c r="N757" i="2"/>
  <c r="AI757" i="2" s="1"/>
  <c r="AP756" i="2"/>
  <c r="AN756" i="2"/>
  <c r="AH756" i="2"/>
  <c r="AG756" i="2"/>
  <c r="AE756" i="2"/>
  <c r="AC756" i="2"/>
  <c r="AB756" i="2"/>
  <c r="S756" i="2"/>
  <c r="P756" i="2"/>
  <c r="U756" i="2" s="1"/>
  <c r="O756" i="2"/>
  <c r="V756" i="2" s="1"/>
  <c r="N756" i="2"/>
  <c r="AI756" i="2" s="1"/>
  <c r="AP755" i="2"/>
  <c r="AN755" i="2"/>
  <c r="AC755" i="2"/>
  <c r="AB755" i="2"/>
  <c r="S755" i="2"/>
  <c r="O755" i="2"/>
  <c r="N755" i="2"/>
  <c r="AG755" i="2" s="1"/>
  <c r="AP754" i="2"/>
  <c r="AN754" i="2"/>
  <c r="AF754" i="2"/>
  <c r="AE754" i="2"/>
  <c r="AC754" i="2"/>
  <c r="AB754" i="2"/>
  <c r="V754" i="2"/>
  <c r="S754" i="2"/>
  <c r="O754" i="2"/>
  <c r="P754" i="2" s="1"/>
  <c r="U754" i="2" s="1"/>
  <c r="N754" i="2"/>
  <c r="AI754" i="2" s="1"/>
  <c r="AP753" i="2"/>
  <c r="AN753" i="2"/>
  <c r="AC753" i="2"/>
  <c r="AB753" i="2"/>
  <c r="S753" i="2"/>
  <c r="P753" i="2"/>
  <c r="U753" i="2" s="1"/>
  <c r="O753" i="2"/>
  <c r="V753" i="2" s="1"/>
  <c r="N753" i="2"/>
  <c r="AP752" i="2"/>
  <c r="AN752" i="2"/>
  <c r="AC752" i="2"/>
  <c r="AB752" i="2"/>
  <c r="V752" i="2"/>
  <c r="S752" i="2"/>
  <c r="P752" i="2"/>
  <c r="U752" i="2" s="1"/>
  <c r="O752" i="2"/>
  <c r="N752" i="2"/>
  <c r="AG752" i="2" s="1"/>
  <c r="AP751" i="2"/>
  <c r="AN751" i="2"/>
  <c r="AC751" i="2"/>
  <c r="AB751" i="2"/>
  <c r="S751" i="2"/>
  <c r="O751" i="2"/>
  <c r="N751" i="2"/>
  <c r="AI751" i="2" s="1"/>
  <c r="AP750" i="2"/>
  <c r="AN750" i="2"/>
  <c r="AC750" i="2"/>
  <c r="AB750" i="2"/>
  <c r="S750" i="2"/>
  <c r="P750" i="2"/>
  <c r="U750" i="2" s="1"/>
  <c r="O750" i="2"/>
  <c r="V750" i="2" s="1"/>
  <c r="N750" i="2"/>
  <c r="AP749" i="2"/>
  <c r="AN749" i="2"/>
  <c r="AG749" i="2"/>
  <c r="AC749" i="2"/>
  <c r="AB749" i="2"/>
  <c r="AI749" i="2" s="1"/>
  <c r="S749" i="2"/>
  <c r="O749" i="2"/>
  <c r="V749" i="2" s="1"/>
  <c r="N749" i="2"/>
  <c r="AP748" i="2"/>
  <c r="AN748" i="2"/>
  <c r="AC748" i="2"/>
  <c r="AB748" i="2"/>
  <c r="S748" i="2"/>
  <c r="O748" i="2"/>
  <c r="AH748" i="2" s="1"/>
  <c r="N748" i="2"/>
  <c r="AP747" i="2"/>
  <c r="AN747" i="2"/>
  <c r="AF747" i="2"/>
  <c r="AC747" i="2"/>
  <c r="AB747" i="2"/>
  <c r="V747" i="2"/>
  <c r="S747" i="2"/>
  <c r="O747" i="2"/>
  <c r="P747" i="2" s="1"/>
  <c r="U747" i="2" s="1"/>
  <c r="N747" i="2"/>
  <c r="AP746" i="2"/>
  <c r="AN746" i="2"/>
  <c r="AC746" i="2"/>
  <c r="AB746" i="2"/>
  <c r="S746" i="2"/>
  <c r="P746" i="2"/>
  <c r="U746" i="2" s="1"/>
  <c r="O746" i="2"/>
  <c r="N746" i="2"/>
  <c r="AP745" i="2"/>
  <c r="AN745" i="2"/>
  <c r="AC745" i="2"/>
  <c r="AB745" i="2"/>
  <c r="AI745" i="2" s="1"/>
  <c r="V745" i="2"/>
  <c r="S745" i="2"/>
  <c r="O745" i="2"/>
  <c r="P745" i="2" s="1"/>
  <c r="U745" i="2" s="1"/>
  <c r="N745" i="2"/>
  <c r="AH745" i="2" s="1"/>
  <c r="AP744" i="2"/>
  <c r="AN744" i="2"/>
  <c r="AC744" i="2"/>
  <c r="AB744" i="2"/>
  <c r="S744" i="2"/>
  <c r="O744" i="2"/>
  <c r="N744" i="2"/>
  <c r="AP743" i="2"/>
  <c r="AN743" i="2"/>
  <c r="AG743" i="2"/>
  <c r="AC743" i="2"/>
  <c r="AB743" i="2"/>
  <c r="V743" i="2"/>
  <c r="S743" i="2"/>
  <c r="P743" i="2"/>
  <c r="U743" i="2" s="1"/>
  <c r="O743" i="2"/>
  <c r="N743" i="2"/>
  <c r="AP742" i="2"/>
  <c r="AN742" i="2"/>
  <c r="AC742" i="2"/>
  <c r="AB742" i="2"/>
  <c r="AI742" i="2" s="1"/>
  <c r="S742" i="2"/>
  <c r="P742" i="2"/>
  <c r="O742" i="2"/>
  <c r="N742" i="2"/>
  <c r="V742" i="2" s="1"/>
  <c r="AP741" i="2"/>
  <c r="AN741" i="2"/>
  <c r="AC741" i="2"/>
  <c r="AB741" i="2"/>
  <c r="V741" i="2"/>
  <c r="S741" i="2"/>
  <c r="P741" i="2"/>
  <c r="U741" i="2" s="1"/>
  <c r="O741" i="2"/>
  <c r="N741" i="2"/>
  <c r="AI741" i="2" s="1"/>
  <c r="AP740" i="2"/>
  <c r="AN740" i="2"/>
  <c r="AC740" i="2"/>
  <c r="AE740" i="2" s="1"/>
  <c r="AB740" i="2"/>
  <c r="AH740" i="2" s="1"/>
  <c r="S740" i="2"/>
  <c r="P740" i="2"/>
  <c r="U740" i="2" s="1"/>
  <c r="O740" i="2"/>
  <c r="V740" i="2" s="1"/>
  <c r="N740" i="2"/>
  <c r="AP739" i="2"/>
  <c r="AN739" i="2"/>
  <c r="AI739" i="2"/>
  <c r="AG739" i="2"/>
  <c r="AC739" i="2"/>
  <c r="AB739" i="2"/>
  <c r="S739" i="2"/>
  <c r="P739" i="2"/>
  <c r="U739" i="2" s="1"/>
  <c r="O739" i="2"/>
  <c r="V739" i="2" s="1"/>
  <c r="N739" i="2"/>
  <c r="AH739" i="2" s="1"/>
  <c r="AP738" i="2"/>
  <c r="AN738" i="2"/>
  <c r="AC738" i="2"/>
  <c r="AB738" i="2"/>
  <c r="V738" i="2"/>
  <c r="S738" i="2"/>
  <c r="O738" i="2"/>
  <c r="P738" i="2" s="1"/>
  <c r="U738" i="2" s="1"/>
  <c r="N738" i="2"/>
  <c r="AP737" i="2"/>
  <c r="AN737" i="2"/>
  <c r="AI737" i="2"/>
  <c r="AH737" i="2"/>
  <c r="AG737" i="2"/>
  <c r="AF737" i="2"/>
  <c r="AC737" i="2"/>
  <c r="AB737" i="2"/>
  <c r="S737" i="2"/>
  <c r="P737" i="2"/>
  <c r="U737" i="2" s="1"/>
  <c r="O737" i="2"/>
  <c r="V737" i="2" s="1"/>
  <c r="N737" i="2"/>
  <c r="AP736" i="2"/>
  <c r="AN736" i="2"/>
  <c r="AC736" i="2"/>
  <c r="AH736" i="2" s="1"/>
  <c r="AB736" i="2"/>
  <c r="V736" i="2"/>
  <c r="S736" i="2"/>
  <c r="P736" i="2"/>
  <c r="U736" i="2" s="1"/>
  <c r="O736" i="2"/>
  <c r="N736" i="2"/>
  <c r="AP735" i="2"/>
  <c r="AN735" i="2"/>
  <c r="AI735" i="2"/>
  <c r="AF735" i="2"/>
  <c r="AC735" i="2"/>
  <c r="AB735" i="2"/>
  <c r="S735" i="2"/>
  <c r="O735" i="2"/>
  <c r="P735" i="2" s="1"/>
  <c r="N735" i="2"/>
  <c r="AH735" i="2" s="1"/>
  <c r="AP734" i="2"/>
  <c r="AN734" i="2"/>
  <c r="AC734" i="2"/>
  <c r="AB734" i="2"/>
  <c r="S734" i="2"/>
  <c r="P734" i="2"/>
  <c r="U734" i="2" s="1"/>
  <c r="O734" i="2"/>
  <c r="N734" i="2"/>
  <c r="AP733" i="2"/>
  <c r="AN733" i="2"/>
  <c r="AI733" i="2"/>
  <c r="AG733" i="2"/>
  <c r="AF733" i="2"/>
  <c r="AE733" i="2"/>
  <c r="AC733" i="2"/>
  <c r="AH733" i="2" s="1"/>
  <c r="AB733" i="2"/>
  <c r="S733" i="2"/>
  <c r="O733" i="2"/>
  <c r="V733" i="2" s="1"/>
  <c r="N733" i="2"/>
  <c r="AP732" i="2"/>
  <c r="AN732" i="2"/>
  <c r="AI732" i="2"/>
  <c r="AC732" i="2"/>
  <c r="AB732" i="2"/>
  <c r="V732" i="2"/>
  <c r="S732" i="2"/>
  <c r="P732" i="2"/>
  <c r="U732" i="2" s="1"/>
  <c r="O732" i="2"/>
  <c r="AH732" i="2" s="1"/>
  <c r="N732" i="2"/>
  <c r="AE732" i="2" s="1"/>
  <c r="AP731" i="2"/>
  <c r="AN731" i="2"/>
  <c r="AC731" i="2"/>
  <c r="AB731" i="2"/>
  <c r="V731" i="2"/>
  <c r="S731" i="2"/>
  <c r="O731" i="2"/>
  <c r="P731" i="2" s="1"/>
  <c r="U731" i="2" s="1"/>
  <c r="N731" i="2"/>
  <c r="AP730" i="2"/>
  <c r="AN730" i="2"/>
  <c r="AC730" i="2"/>
  <c r="AB730" i="2"/>
  <c r="S730" i="2"/>
  <c r="P730" i="2"/>
  <c r="O730" i="2"/>
  <c r="N730" i="2"/>
  <c r="AP729" i="2"/>
  <c r="AN729" i="2"/>
  <c r="AC729" i="2"/>
  <c r="AB729" i="2"/>
  <c r="V729" i="2"/>
  <c r="S729" i="2"/>
  <c r="O729" i="2"/>
  <c r="P729" i="2" s="1"/>
  <c r="U729" i="2" s="1"/>
  <c r="N729" i="2"/>
  <c r="AP728" i="2"/>
  <c r="AN728" i="2"/>
  <c r="AI728" i="2"/>
  <c r="AH728" i="2"/>
  <c r="AE728" i="2"/>
  <c r="AC728" i="2"/>
  <c r="AB728" i="2"/>
  <c r="S728" i="2"/>
  <c r="P728" i="2"/>
  <c r="U728" i="2" s="1"/>
  <c r="O728" i="2"/>
  <c r="N728" i="2"/>
  <c r="AG728" i="2" s="1"/>
  <c r="AP727" i="2"/>
  <c r="AN727" i="2"/>
  <c r="AC727" i="2"/>
  <c r="AB727" i="2"/>
  <c r="S727" i="2"/>
  <c r="O727" i="2"/>
  <c r="N727" i="2"/>
  <c r="AF727" i="2" s="1"/>
  <c r="AP726" i="2"/>
  <c r="AN726" i="2"/>
  <c r="AC726" i="2"/>
  <c r="AB726" i="2"/>
  <c r="AI726" i="2" s="1"/>
  <c r="V726" i="2"/>
  <c r="S726" i="2"/>
  <c r="P726" i="2"/>
  <c r="U726" i="2" s="1"/>
  <c r="O726" i="2"/>
  <c r="N726" i="2"/>
  <c r="AF726" i="2" s="1"/>
  <c r="AP725" i="2"/>
  <c r="AN725" i="2"/>
  <c r="AI725" i="2"/>
  <c r="AG725" i="2"/>
  <c r="AF725" i="2"/>
  <c r="AE725" i="2"/>
  <c r="AC725" i="2"/>
  <c r="AB725" i="2"/>
  <c r="S725" i="2"/>
  <c r="P725" i="2"/>
  <c r="U725" i="2" s="1"/>
  <c r="O725" i="2"/>
  <c r="V725" i="2" s="1"/>
  <c r="N725" i="2"/>
  <c r="AP724" i="2"/>
  <c r="AN724" i="2"/>
  <c r="AH724" i="2"/>
  <c r="AG724" i="2"/>
  <c r="AC724" i="2"/>
  <c r="AB724" i="2"/>
  <c r="S724" i="2"/>
  <c r="P724" i="2"/>
  <c r="U724" i="2" s="1"/>
  <c r="O724" i="2"/>
  <c r="N724" i="2"/>
  <c r="AI724" i="2" s="1"/>
  <c r="AP723" i="2"/>
  <c r="AN723" i="2"/>
  <c r="AC723" i="2"/>
  <c r="AB723" i="2"/>
  <c r="S723" i="2"/>
  <c r="O723" i="2"/>
  <c r="N723" i="2"/>
  <c r="AI723" i="2" s="1"/>
  <c r="AP722" i="2"/>
  <c r="AN722" i="2"/>
  <c r="AC722" i="2"/>
  <c r="AE722" i="2" s="1"/>
  <c r="AB722" i="2"/>
  <c r="S722" i="2"/>
  <c r="P722" i="2"/>
  <c r="U722" i="2" s="1"/>
  <c r="O722" i="2"/>
  <c r="V722" i="2" s="1"/>
  <c r="N722" i="2"/>
  <c r="AI722" i="2" s="1"/>
  <c r="AP721" i="2"/>
  <c r="AN721" i="2"/>
  <c r="AI721" i="2"/>
  <c r="AH721" i="2"/>
  <c r="AC721" i="2"/>
  <c r="AB721" i="2"/>
  <c r="S721" i="2"/>
  <c r="O721" i="2"/>
  <c r="AE721" i="2" s="1"/>
  <c r="N721" i="2"/>
  <c r="AG721" i="2" s="1"/>
  <c r="AP720" i="2"/>
  <c r="AN720" i="2"/>
  <c r="AC720" i="2"/>
  <c r="AB720" i="2"/>
  <c r="AH720" i="2" s="1"/>
  <c r="V720" i="2"/>
  <c r="S720" i="2"/>
  <c r="P720" i="2"/>
  <c r="U720" i="2" s="1"/>
  <c r="O720" i="2"/>
  <c r="N720" i="2"/>
  <c r="AI720" i="2" s="1"/>
  <c r="AP719" i="2"/>
  <c r="AN719" i="2"/>
  <c r="AI719" i="2"/>
  <c r="AG719" i="2"/>
  <c r="AF719" i="2"/>
  <c r="AC719" i="2"/>
  <c r="AB719" i="2"/>
  <c r="S719" i="2"/>
  <c r="P719" i="2"/>
  <c r="U719" i="2" s="1"/>
  <c r="O719" i="2"/>
  <c r="N719" i="2"/>
  <c r="AE719" i="2" s="1"/>
  <c r="AP718" i="2"/>
  <c r="AN718" i="2"/>
  <c r="AC718" i="2"/>
  <c r="AB718" i="2"/>
  <c r="S718" i="2"/>
  <c r="P718" i="2"/>
  <c r="U718" i="2" s="1"/>
  <c r="O718" i="2"/>
  <c r="N718" i="2"/>
  <c r="AI718" i="2" s="1"/>
  <c r="AP717" i="2"/>
  <c r="AN717" i="2"/>
  <c r="AC717" i="2"/>
  <c r="AB717" i="2"/>
  <c r="V717" i="2"/>
  <c r="S717" i="2"/>
  <c r="P717" i="2"/>
  <c r="U717" i="2" s="1"/>
  <c r="O717" i="2"/>
  <c r="N717" i="2"/>
  <c r="AP716" i="2"/>
  <c r="AN716" i="2"/>
  <c r="AC716" i="2"/>
  <c r="AB716" i="2"/>
  <c r="S716" i="2"/>
  <c r="O716" i="2"/>
  <c r="N716" i="2"/>
  <c r="AP715" i="2"/>
  <c r="AN715" i="2"/>
  <c r="AC715" i="2"/>
  <c r="AB715" i="2"/>
  <c r="V715" i="2"/>
  <c r="S715" i="2"/>
  <c r="O715" i="2"/>
  <c r="P715" i="2" s="1"/>
  <c r="U715" i="2" s="1"/>
  <c r="N715" i="2"/>
  <c r="AI715" i="2" s="1"/>
  <c r="AP714" i="2"/>
  <c r="AN714" i="2"/>
  <c r="AC714" i="2"/>
  <c r="AB714" i="2"/>
  <c r="S714" i="2"/>
  <c r="P714" i="2"/>
  <c r="U714" i="2" s="1"/>
  <c r="AO714" i="2" s="1"/>
  <c r="O714" i="2"/>
  <c r="N714" i="2"/>
  <c r="AP713" i="2"/>
  <c r="AN713" i="2"/>
  <c r="AC713" i="2"/>
  <c r="AB713" i="2"/>
  <c r="AI713" i="2" s="1"/>
  <c r="S713" i="2"/>
  <c r="O713" i="2"/>
  <c r="V713" i="2" s="1"/>
  <c r="N713" i="2"/>
  <c r="AH713" i="2" s="1"/>
  <c r="AP712" i="2"/>
  <c r="AN712" i="2"/>
  <c r="AH712" i="2"/>
  <c r="AG712" i="2"/>
  <c r="AC712" i="2"/>
  <c r="AB712" i="2"/>
  <c r="S712" i="2"/>
  <c r="O712" i="2"/>
  <c r="V712" i="2" s="1"/>
  <c r="N712" i="2"/>
  <c r="AF712" i="2" s="1"/>
  <c r="AP711" i="2"/>
  <c r="AN711" i="2"/>
  <c r="AG711" i="2"/>
  <c r="AC711" i="2"/>
  <c r="AB711" i="2"/>
  <c r="V711" i="2"/>
  <c r="S711" i="2"/>
  <c r="O711" i="2"/>
  <c r="P711" i="2" s="1"/>
  <c r="U711" i="2" s="1"/>
  <c r="N711" i="2"/>
  <c r="AE711" i="2" s="1"/>
  <c r="AP710" i="2"/>
  <c r="AN710" i="2"/>
  <c r="AI710" i="2"/>
  <c r="AH710" i="2"/>
  <c r="AG710" i="2"/>
  <c r="AF710" i="2"/>
  <c r="AE710" i="2"/>
  <c r="AC710" i="2"/>
  <c r="AB710" i="2"/>
  <c r="S710" i="2"/>
  <c r="O710" i="2"/>
  <c r="V710" i="2" s="1"/>
  <c r="N710" i="2"/>
  <c r="AP709" i="2"/>
  <c r="AN709" i="2"/>
  <c r="AI709" i="2"/>
  <c r="AL709" i="2" s="1"/>
  <c r="AM709" i="2" s="1"/>
  <c r="AG709" i="2"/>
  <c r="AF709" i="2"/>
  <c r="AE709" i="2"/>
  <c r="AC709" i="2"/>
  <c r="AB709" i="2"/>
  <c r="V709" i="2"/>
  <c r="S709" i="2"/>
  <c r="P709" i="2"/>
  <c r="U709" i="2" s="1"/>
  <c r="AO709" i="2" s="1"/>
  <c r="O709" i="2"/>
  <c r="AH709" i="2" s="1"/>
  <c r="N709" i="2"/>
  <c r="AP708" i="2"/>
  <c r="AN708" i="2"/>
  <c r="AF708" i="2"/>
  <c r="AC708" i="2"/>
  <c r="AB708" i="2"/>
  <c r="S708" i="2"/>
  <c r="P708" i="2"/>
  <c r="U708" i="2" s="1"/>
  <c r="O708" i="2"/>
  <c r="V708" i="2" s="1"/>
  <c r="N708" i="2"/>
  <c r="AP707" i="2"/>
  <c r="AN707" i="2"/>
  <c r="AC707" i="2"/>
  <c r="AB707" i="2"/>
  <c r="S707" i="2"/>
  <c r="O707" i="2"/>
  <c r="N707" i="2"/>
  <c r="AP706" i="2"/>
  <c r="AN706" i="2"/>
  <c r="AE706" i="2"/>
  <c r="AC706" i="2"/>
  <c r="AB706" i="2"/>
  <c r="S706" i="2"/>
  <c r="P706" i="2"/>
  <c r="U706" i="2" s="1"/>
  <c r="O706" i="2"/>
  <c r="V706" i="2" s="1"/>
  <c r="N706" i="2"/>
  <c r="AP705" i="2"/>
  <c r="AN705" i="2"/>
  <c r="AC705" i="2"/>
  <c r="AB705" i="2"/>
  <c r="S705" i="2"/>
  <c r="O705" i="2"/>
  <c r="N705" i="2"/>
  <c r="AP704" i="2"/>
  <c r="AN704" i="2"/>
  <c r="AC704" i="2"/>
  <c r="AB704" i="2"/>
  <c r="S704" i="2"/>
  <c r="P704" i="2"/>
  <c r="U704" i="2" s="1"/>
  <c r="AO704" i="2" s="1"/>
  <c r="O704" i="2"/>
  <c r="N704" i="2"/>
  <c r="AP703" i="2"/>
  <c r="AN703" i="2"/>
  <c r="AG703" i="2"/>
  <c r="AF703" i="2"/>
  <c r="AC703" i="2"/>
  <c r="AB703" i="2"/>
  <c r="S703" i="2"/>
  <c r="P703" i="2"/>
  <c r="O703" i="2"/>
  <c r="N703" i="2"/>
  <c r="AP702" i="2"/>
  <c r="AN702" i="2"/>
  <c r="AC702" i="2"/>
  <c r="AB702" i="2"/>
  <c r="S702" i="2"/>
  <c r="P702" i="2"/>
  <c r="U702" i="2" s="1"/>
  <c r="O702" i="2"/>
  <c r="N702" i="2"/>
  <c r="AP701" i="2"/>
  <c r="AN701" i="2"/>
  <c r="AC701" i="2"/>
  <c r="AF701" i="2" s="1"/>
  <c r="AB701" i="2"/>
  <c r="V701" i="2"/>
  <c r="S701" i="2"/>
  <c r="P701" i="2"/>
  <c r="U701" i="2" s="1"/>
  <c r="O701" i="2"/>
  <c r="N701" i="2"/>
  <c r="AP700" i="2"/>
  <c r="AN700" i="2"/>
  <c r="AC700" i="2"/>
  <c r="AF700" i="2" s="1"/>
  <c r="AB700" i="2"/>
  <c r="S700" i="2"/>
  <c r="P700" i="2"/>
  <c r="U700" i="2" s="1"/>
  <c r="O700" i="2"/>
  <c r="N700" i="2"/>
  <c r="AP699" i="2"/>
  <c r="AN699" i="2"/>
  <c r="AC699" i="2"/>
  <c r="AB699" i="2"/>
  <c r="AH699" i="2" s="1"/>
  <c r="S699" i="2"/>
  <c r="O699" i="2"/>
  <c r="P699" i="2" s="1"/>
  <c r="N699" i="2"/>
  <c r="AP698" i="2"/>
  <c r="AN698" i="2"/>
  <c r="AF698" i="2"/>
  <c r="AC698" i="2"/>
  <c r="AB698" i="2"/>
  <c r="S698" i="2"/>
  <c r="P698" i="2"/>
  <c r="U698" i="2" s="1"/>
  <c r="O698" i="2"/>
  <c r="N698" i="2"/>
  <c r="AP697" i="2"/>
  <c r="AN697" i="2"/>
  <c r="AC697" i="2"/>
  <c r="AB697" i="2"/>
  <c r="AI697" i="2" s="1"/>
  <c r="S697" i="2"/>
  <c r="O697" i="2"/>
  <c r="N697" i="2"/>
  <c r="AP696" i="2"/>
  <c r="AN696" i="2"/>
  <c r="AH696" i="2"/>
  <c r="AC696" i="2"/>
  <c r="AB696" i="2"/>
  <c r="S696" i="2"/>
  <c r="O696" i="2"/>
  <c r="N696" i="2"/>
  <c r="AG696" i="2" s="1"/>
  <c r="AP695" i="2"/>
  <c r="AN695" i="2"/>
  <c r="AC695" i="2"/>
  <c r="AB695" i="2"/>
  <c r="S695" i="2"/>
  <c r="O695" i="2"/>
  <c r="N695" i="2"/>
  <c r="AP694" i="2"/>
  <c r="AN694" i="2"/>
  <c r="AI694" i="2"/>
  <c r="AH694" i="2"/>
  <c r="AG694" i="2"/>
  <c r="AF694" i="2"/>
  <c r="AE694" i="2"/>
  <c r="AC694" i="2"/>
  <c r="AB694" i="2"/>
  <c r="V694" i="2"/>
  <c r="S694" i="2"/>
  <c r="O694" i="2"/>
  <c r="P694" i="2" s="1"/>
  <c r="U694" i="2" s="1"/>
  <c r="N694" i="2"/>
  <c r="AP693" i="2"/>
  <c r="AN693" i="2"/>
  <c r="AI693" i="2"/>
  <c r="AG693" i="2"/>
  <c r="AF693" i="2"/>
  <c r="AE693" i="2"/>
  <c r="AC693" i="2"/>
  <c r="AB693" i="2"/>
  <c r="V693" i="2"/>
  <c r="S693" i="2"/>
  <c r="P693" i="2"/>
  <c r="U693" i="2" s="1"/>
  <c r="O693" i="2"/>
  <c r="AH693" i="2" s="1"/>
  <c r="N693" i="2"/>
  <c r="AP692" i="2"/>
  <c r="AN692" i="2"/>
  <c r="AG692" i="2"/>
  <c r="AC692" i="2"/>
  <c r="AB692" i="2"/>
  <c r="S692" i="2"/>
  <c r="P692" i="2"/>
  <c r="U692" i="2" s="1"/>
  <c r="O692" i="2"/>
  <c r="V692" i="2" s="1"/>
  <c r="N692" i="2"/>
  <c r="AP691" i="2"/>
  <c r="AN691" i="2"/>
  <c r="AC691" i="2"/>
  <c r="AB691" i="2"/>
  <c r="S691" i="2"/>
  <c r="P691" i="2"/>
  <c r="U691" i="2" s="1"/>
  <c r="O691" i="2"/>
  <c r="N691" i="2"/>
  <c r="AP690" i="2"/>
  <c r="AN690" i="2"/>
  <c r="AC690" i="2"/>
  <c r="AE690" i="2" s="1"/>
  <c r="AB690" i="2"/>
  <c r="S690" i="2"/>
  <c r="O690" i="2"/>
  <c r="V690" i="2" s="1"/>
  <c r="N690" i="2"/>
  <c r="AP689" i="2"/>
  <c r="AN689" i="2"/>
  <c r="AC689" i="2"/>
  <c r="AB689" i="2"/>
  <c r="S689" i="2"/>
  <c r="P689" i="2"/>
  <c r="U689" i="2" s="1"/>
  <c r="O689" i="2"/>
  <c r="N689" i="2"/>
  <c r="AP688" i="2"/>
  <c r="AN688" i="2"/>
  <c r="AI688" i="2"/>
  <c r="AH688" i="2"/>
  <c r="AC688" i="2"/>
  <c r="AB688" i="2"/>
  <c r="S688" i="2"/>
  <c r="P688" i="2"/>
  <c r="U688" i="2" s="1"/>
  <c r="O688" i="2"/>
  <c r="N688" i="2"/>
  <c r="AE688" i="2" s="1"/>
  <c r="AP687" i="2"/>
  <c r="AN687" i="2"/>
  <c r="AH687" i="2"/>
  <c r="AG687" i="2"/>
  <c r="AF687" i="2"/>
  <c r="AC687" i="2"/>
  <c r="AB687" i="2"/>
  <c r="V687" i="2"/>
  <c r="S687" i="2"/>
  <c r="P687" i="2"/>
  <c r="U687" i="2" s="1"/>
  <c r="O687" i="2"/>
  <c r="N687" i="2"/>
  <c r="AI687" i="2" s="1"/>
  <c r="AP686" i="2"/>
  <c r="AN686" i="2"/>
  <c r="AC686" i="2"/>
  <c r="AB686" i="2"/>
  <c r="S686" i="2"/>
  <c r="P686" i="2"/>
  <c r="U686" i="2" s="1"/>
  <c r="O686" i="2"/>
  <c r="N686" i="2"/>
  <c r="AH686" i="2" s="1"/>
  <c r="AP685" i="2"/>
  <c r="AN685" i="2"/>
  <c r="AC685" i="2"/>
  <c r="AB685" i="2"/>
  <c r="V685" i="2"/>
  <c r="S685" i="2"/>
  <c r="P685" i="2"/>
  <c r="U685" i="2" s="1"/>
  <c r="O685" i="2"/>
  <c r="N685" i="2"/>
  <c r="AP684" i="2"/>
  <c r="AN684" i="2"/>
  <c r="AF684" i="2"/>
  <c r="AC684" i="2"/>
  <c r="AH684" i="2" s="1"/>
  <c r="AB684" i="2"/>
  <c r="V684" i="2"/>
  <c r="S684" i="2"/>
  <c r="O684" i="2"/>
  <c r="N684" i="2"/>
  <c r="AP683" i="2"/>
  <c r="AN683" i="2"/>
  <c r="AF683" i="2"/>
  <c r="AC683" i="2"/>
  <c r="AB683" i="2"/>
  <c r="V683" i="2"/>
  <c r="S683" i="2"/>
  <c r="O683" i="2"/>
  <c r="P683" i="2" s="1"/>
  <c r="U683" i="2" s="1"/>
  <c r="N683" i="2"/>
  <c r="AP682" i="2"/>
  <c r="AN682" i="2"/>
  <c r="AC682" i="2"/>
  <c r="AB682" i="2"/>
  <c r="AI682" i="2" s="1"/>
  <c r="S682" i="2"/>
  <c r="P682" i="2"/>
  <c r="O682" i="2"/>
  <c r="V682" i="2" s="1"/>
  <c r="N682" i="2"/>
  <c r="AP681" i="2"/>
  <c r="AN681" i="2"/>
  <c r="AI681" i="2"/>
  <c r="AC681" i="2"/>
  <c r="AB681" i="2"/>
  <c r="S681" i="2"/>
  <c r="O681" i="2"/>
  <c r="N681" i="2"/>
  <c r="AP680" i="2"/>
  <c r="AN680" i="2"/>
  <c r="AH680" i="2"/>
  <c r="AC680" i="2"/>
  <c r="AB680" i="2"/>
  <c r="S680" i="2"/>
  <c r="O680" i="2"/>
  <c r="N680" i="2"/>
  <c r="AP679" i="2"/>
  <c r="AN679" i="2"/>
  <c r="AI679" i="2"/>
  <c r="AG679" i="2"/>
  <c r="AC679" i="2"/>
  <c r="AB679" i="2"/>
  <c r="S679" i="2"/>
  <c r="O679" i="2"/>
  <c r="P679" i="2" s="1"/>
  <c r="U679" i="2" s="1"/>
  <c r="N679" i="2"/>
  <c r="AP678" i="2"/>
  <c r="AN678" i="2"/>
  <c r="AH678" i="2"/>
  <c r="AE678" i="2"/>
  <c r="AC678" i="2"/>
  <c r="AB678" i="2"/>
  <c r="V678" i="2"/>
  <c r="S678" i="2"/>
  <c r="O678" i="2"/>
  <c r="P678" i="2" s="1"/>
  <c r="U678" i="2" s="1"/>
  <c r="AO678" i="2" s="1"/>
  <c r="N678" i="2"/>
  <c r="AP677" i="2"/>
  <c r="AN677" i="2"/>
  <c r="AI677" i="2"/>
  <c r="AH677" i="2"/>
  <c r="AG677" i="2"/>
  <c r="AF677" i="2"/>
  <c r="AE677" i="2"/>
  <c r="AC677" i="2"/>
  <c r="AB677" i="2"/>
  <c r="V677" i="2"/>
  <c r="S677" i="2"/>
  <c r="P677" i="2"/>
  <c r="U677" i="2" s="1"/>
  <c r="O677" i="2"/>
  <c r="N677" i="2"/>
  <c r="AP676" i="2"/>
  <c r="AN676" i="2"/>
  <c r="AG676" i="2"/>
  <c r="AF676" i="2"/>
  <c r="AC676" i="2"/>
  <c r="AB676" i="2"/>
  <c r="AH676" i="2" s="1"/>
  <c r="V676" i="2"/>
  <c r="S676" i="2"/>
  <c r="P676" i="2"/>
  <c r="U676" i="2" s="1"/>
  <c r="AO676" i="2" s="1"/>
  <c r="O676" i="2"/>
  <c r="N676" i="2"/>
  <c r="AP675" i="2"/>
  <c r="AN675" i="2"/>
  <c r="AC675" i="2"/>
  <c r="AB675" i="2"/>
  <c r="S675" i="2"/>
  <c r="O675" i="2"/>
  <c r="V675" i="2" s="1"/>
  <c r="N675" i="2"/>
  <c r="AP674" i="2"/>
  <c r="AN674" i="2"/>
  <c r="AF674" i="2"/>
  <c r="AC674" i="2"/>
  <c r="AI674" i="2" s="1"/>
  <c r="AB674" i="2"/>
  <c r="S674" i="2"/>
  <c r="O674" i="2"/>
  <c r="V674" i="2" s="1"/>
  <c r="N674" i="2"/>
  <c r="AP673" i="2"/>
  <c r="AN673" i="2"/>
  <c r="AC673" i="2"/>
  <c r="AB673" i="2"/>
  <c r="AI673" i="2" s="1"/>
  <c r="S673" i="2"/>
  <c r="O673" i="2"/>
  <c r="V673" i="2" s="1"/>
  <c r="N673" i="2"/>
  <c r="AP672" i="2"/>
  <c r="AN672" i="2"/>
  <c r="AI672" i="2"/>
  <c r="AH672" i="2"/>
  <c r="AC672" i="2"/>
  <c r="AE672" i="2" s="1"/>
  <c r="AB672" i="2"/>
  <c r="V672" i="2"/>
  <c r="S672" i="2"/>
  <c r="P672" i="2"/>
  <c r="U672" i="2" s="1"/>
  <c r="AO672" i="2" s="1"/>
  <c r="O672" i="2"/>
  <c r="N672" i="2"/>
  <c r="AG672" i="2" s="1"/>
  <c r="AP671" i="2"/>
  <c r="AN671" i="2"/>
  <c r="AC671" i="2"/>
  <c r="AF671" i="2" s="1"/>
  <c r="AB671" i="2"/>
  <c r="V671" i="2"/>
  <c r="S671" i="2"/>
  <c r="O671" i="2"/>
  <c r="P671" i="2" s="1"/>
  <c r="U671" i="2" s="1"/>
  <c r="AO671" i="2" s="1"/>
  <c r="N671" i="2"/>
  <c r="AP670" i="2"/>
  <c r="AN670" i="2"/>
  <c r="AC670" i="2"/>
  <c r="AB670" i="2"/>
  <c r="S670" i="2"/>
  <c r="O670" i="2"/>
  <c r="N670" i="2"/>
  <c r="AP669" i="2"/>
  <c r="AN669" i="2"/>
  <c r="AG669" i="2"/>
  <c r="AC669" i="2"/>
  <c r="AB669" i="2"/>
  <c r="AI669" i="2" s="1"/>
  <c r="S669" i="2"/>
  <c r="O669" i="2"/>
  <c r="V669" i="2" s="1"/>
  <c r="N669" i="2"/>
  <c r="AP668" i="2"/>
  <c r="AN668" i="2"/>
  <c r="AI668" i="2"/>
  <c r="AG668" i="2"/>
  <c r="AC668" i="2"/>
  <c r="AB668" i="2"/>
  <c r="S668" i="2"/>
  <c r="O668" i="2"/>
  <c r="V668" i="2" s="1"/>
  <c r="N668" i="2"/>
  <c r="AH668" i="2" s="1"/>
  <c r="AP667" i="2"/>
  <c r="AN667" i="2"/>
  <c r="AI667" i="2"/>
  <c r="AE667" i="2"/>
  <c r="AC667" i="2"/>
  <c r="AB667" i="2"/>
  <c r="S667" i="2"/>
  <c r="O667" i="2"/>
  <c r="V667" i="2" s="1"/>
  <c r="N667" i="2"/>
  <c r="AH667" i="2" s="1"/>
  <c r="AP666" i="2"/>
  <c r="AN666" i="2"/>
  <c r="AI666" i="2"/>
  <c r="AH666" i="2"/>
  <c r="AG666" i="2"/>
  <c r="AE666" i="2"/>
  <c r="AC666" i="2"/>
  <c r="AB666" i="2"/>
  <c r="S666" i="2"/>
  <c r="P666" i="2"/>
  <c r="U666" i="2" s="1"/>
  <c r="AO666" i="2" s="1"/>
  <c r="O666" i="2"/>
  <c r="V666" i="2" s="1"/>
  <c r="N666" i="2"/>
  <c r="AF666" i="2" s="1"/>
  <c r="AP665" i="2"/>
  <c r="AN665" i="2"/>
  <c r="AC665" i="2"/>
  <c r="AB665" i="2"/>
  <c r="V665" i="2"/>
  <c r="W665" i="2" s="1"/>
  <c r="S665" i="2"/>
  <c r="P665" i="2"/>
  <c r="O665" i="2"/>
  <c r="N665" i="2"/>
  <c r="AF665" i="2" s="1"/>
  <c r="AP664" i="2"/>
  <c r="AN664" i="2"/>
  <c r="AE664" i="2"/>
  <c r="AC664" i="2"/>
  <c r="AB664" i="2"/>
  <c r="S664" i="2"/>
  <c r="O664" i="2"/>
  <c r="P664" i="2" s="1"/>
  <c r="U664" i="2" s="1"/>
  <c r="AO664" i="2" s="1"/>
  <c r="N664" i="2"/>
  <c r="AP663" i="2"/>
  <c r="AN663" i="2"/>
  <c r="AE663" i="2"/>
  <c r="AC663" i="2"/>
  <c r="AB663" i="2"/>
  <c r="S663" i="2"/>
  <c r="P663" i="2"/>
  <c r="U663" i="2" s="1"/>
  <c r="AO663" i="2" s="1"/>
  <c r="O663" i="2"/>
  <c r="N663" i="2"/>
  <c r="AI663" i="2" s="1"/>
  <c r="AP662" i="2"/>
  <c r="AN662" i="2"/>
  <c r="AH662" i="2"/>
  <c r="AC662" i="2"/>
  <c r="AB662" i="2"/>
  <c r="AE662" i="2" s="1"/>
  <c r="S662" i="2"/>
  <c r="P662" i="2"/>
  <c r="O662" i="2"/>
  <c r="N662" i="2"/>
  <c r="V662" i="2" s="1"/>
  <c r="AP661" i="2"/>
  <c r="AN661" i="2"/>
  <c r="AC661" i="2"/>
  <c r="AB661" i="2"/>
  <c r="S661" i="2"/>
  <c r="P661" i="2"/>
  <c r="U661" i="2" s="1"/>
  <c r="AO661" i="2" s="1"/>
  <c r="O661" i="2"/>
  <c r="N661" i="2"/>
  <c r="AP660" i="2"/>
  <c r="AN660" i="2"/>
  <c r="AF660" i="2"/>
  <c r="AC660" i="2"/>
  <c r="AB660" i="2"/>
  <c r="S660" i="2"/>
  <c r="O660" i="2"/>
  <c r="P660" i="2" s="1"/>
  <c r="U660" i="2" s="1"/>
  <c r="AO660" i="2" s="1"/>
  <c r="N660" i="2"/>
  <c r="V660" i="2" s="1"/>
  <c r="AP659" i="2"/>
  <c r="AN659" i="2"/>
  <c r="AH659" i="2"/>
  <c r="AF659" i="2"/>
  <c r="AC659" i="2"/>
  <c r="AB659" i="2"/>
  <c r="S659" i="2"/>
  <c r="O659" i="2"/>
  <c r="P659" i="2" s="1"/>
  <c r="U659" i="2" s="1"/>
  <c r="AO659" i="2" s="1"/>
  <c r="N659" i="2"/>
  <c r="AG659" i="2" s="1"/>
  <c r="AP658" i="2"/>
  <c r="AN658" i="2"/>
  <c r="AC658" i="2"/>
  <c r="AB658" i="2"/>
  <c r="V658" i="2"/>
  <c r="S658" i="2"/>
  <c r="P658" i="2"/>
  <c r="U658" i="2" s="1"/>
  <c r="AO658" i="2" s="1"/>
  <c r="O658" i="2"/>
  <c r="N658" i="2"/>
  <c r="AP657" i="2"/>
  <c r="AN657" i="2"/>
  <c r="AC657" i="2"/>
  <c r="AB657" i="2"/>
  <c r="S657" i="2"/>
  <c r="O657" i="2"/>
  <c r="AF657" i="2" s="1"/>
  <c r="N657" i="2"/>
  <c r="AP656" i="2"/>
  <c r="AN656" i="2"/>
  <c r="AF656" i="2"/>
  <c r="AC656" i="2"/>
  <c r="AB656" i="2"/>
  <c r="S656" i="2"/>
  <c r="O656" i="2"/>
  <c r="P656" i="2" s="1"/>
  <c r="U656" i="2" s="1"/>
  <c r="AO656" i="2" s="1"/>
  <c r="N656" i="2"/>
  <c r="AI656" i="2" s="1"/>
  <c r="AP655" i="2"/>
  <c r="AN655" i="2"/>
  <c r="AI655" i="2"/>
  <c r="AC655" i="2"/>
  <c r="AF655" i="2" s="1"/>
  <c r="AB655" i="2"/>
  <c r="S655" i="2"/>
  <c r="O655" i="2"/>
  <c r="P655" i="2" s="1"/>
  <c r="U655" i="2" s="1"/>
  <c r="AO655" i="2" s="1"/>
  <c r="N655" i="2"/>
  <c r="V655" i="2" s="1"/>
  <c r="AP654" i="2"/>
  <c r="AN654" i="2"/>
  <c r="AC654" i="2"/>
  <c r="AB654" i="2"/>
  <c r="S654" i="2"/>
  <c r="O654" i="2"/>
  <c r="N654" i="2"/>
  <c r="AP653" i="2"/>
  <c r="AN653" i="2"/>
  <c r="AC653" i="2"/>
  <c r="AB653" i="2"/>
  <c r="S653" i="2"/>
  <c r="O653" i="2"/>
  <c r="N653" i="2"/>
  <c r="AP652" i="2"/>
  <c r="AN652" i="2"/>
  <c r="AI652" i="2"/>
  <c r="AG652" i="2"/>
  <c r="AC652" i="2"/>
  <c r="AB652" i="2"/>
  <c r="S652" i="2"/>
  <c r="O652" i="2"/>
  <c r="V652" i="2" s="1"/>
  <c r="N652" i="2"/>
  <c r="AH652" i="2" s="1"/>
  <c r="AP651" i="2"/>
  <c r="AN651" i="2"/>
  <c r="AI651" i="2"/>
  <c r="AE651" i="2"/>
  <c r="AC651" i="2"/>
  <c r="AB651" i="2"/>
  <c r="S651" i="2"/>
  <c r="O651" i="2"/>
  <c r="V651" i="2" s="1"/>
  <c r="N651" i="2"/>
  <c r="AH651" i="2" s="1"/>
  <c r="AP650" i="2"/>
  <c r="AN650" i="2"/>
  <c r="AI650" i="2"/>
  <c r="AH650" i="2"/>
  <c r="AG650" i="2"/>
  <c r="AE650" i="2"/>
  <c r="AC650" i="2"/>
  <c r="AB650" i="2"/>
  <c r="S650" i="2"/>
  <c r="P650" i="2"/>
  <c r="U650" i="2" s="1"/>
  <c r="AO650" i="2" s="1"/>
  <c r="O650" i="2"/>
  <c r="V650" i="2" s="1"/>
  <c r="N650" i="2"/>
  <c r="AF650" i="2" s="1"/>
  <c r="AP649" i="2"/>
  <c r="AN649" i="2"/>
  <c r="AG649" i="2"/>
  <c r="AC649" i="2"/>
  <c r="AB649" i="2"/>
  <c r="V649" i="2"/>
  <c r="S649" i="2"/>
  <c r="P649" i="2"/>
  <c r="U649" i="2" s="1"/>
  <c r="AO649" i="2" s="1"/>
  <c r="O649" i="2"/>
  <c r="N649" i="2"/>
  <c r="AF649" i="2" s="1"/>
  <c r="AP648" i="2"/>
  <c r="AN648" i="2"/>
  <c r="AE648" i="2"/>
  <c r="AC648" i="2"/>
  <c r="AB648" i="2"/>
  <c r="S648" i="2"/>
  <c r="P648" i="2"/>
  <c r="U648" i="2" s="1"/>
  <c r="AO648" i="2" s="1"/>
  <c r="O648" i="2"/>
  <c r="N648" i="2"/>
  <c r="AP647" i="2"/>
  <c r="AN647" i="2"/>
  <c r="AE647" i="2"/>
  <c r="AC647" i="2"/>
  <c r="AB647" i="2"/>
  <c r="S647" i="2"/>
  <c r="P647" i="2"/>
  <c r="U647" i="2" s="1"/>
  <c r="AO647" i="2" s="1"/>
  <c r="O647" i="2"/>
  <c r="N647" i="2"/>
  <c r="AP646" i="2"/>
  <c r="AN646" i="2"/>
  <c r="AH646" i="2"/>
  <c r="AC646" i="2"/>
  <c r="AB646" i="2"/>
  <c r="AE646" i="2" s="1"/>
  <c r="S646" i="2"/>
  <c r="P646" i="2"/>
  <c r="U646" i="2" s="1"/>
  <c r="AO646" i="2" s="1"/>
  <c r="O646" i="2"/>
  <c r="N646" i="2"/>
  <c r="V646" i="2" s="1"/>
  <c r="AP645" i="2"/>
  <c r="AN645" i="2"/>
  <c r="AC645" i="2"/>
  <c r="AB645" i="2"/>
  <c r="S645" i="2"/>
  <c r="P645" i="2"/>
  <c r="O645" i="2"/>
  <c r="N645" i="2"/>
  <c r="AP644" i="2"/>
  <c r="AN644" i="2"/>
  <c r="AC644" i="2"/>
  <c r="AB644" i="2"/>
  <c r="S644" i="2"/>
  <c r="O644" i="2"/>
  <c r="P644" i="2" s="1"/>
  <c r="U644" i="2" s="1"/>
  <c r="AO644" i="2" s="1"/>
  <c r="N644" i="2"/>
  <c r="AF644" i="2" s="1"/>
  <c r="AP643" i="2"/>
  <c r="AN643" i="2"/>
  <c r="AF643" i="2"/>
  <c r="AC643" i="2"/>
  <c r="AB643" i="2"/>
  <c r="S643" i="2"/>
  <c r="O643" i="2"/>
  <c r="P643" i="2" s="1"/>
  <c r="U643" i="2" s="1"/>
  <c r="N643" i="2"/>
  <c r="AH643" i="2" s="1"/>
  <c r="AP642" i="2"/>
  <c r="AN642" i="2"/>
  <c r="AI642" i="2"/>
  <c r="AC642" i="2"/>
  <c r="AH642" i="2" s="1"/>
  <c r="AB642" i="2"/>
  <c r="V642" i="2"/>
  <c r="S642" i="2"/>
  <c r="P642" i="2"/>
  <c r="U642" i="2" s="1"/>
  <c r="O642" i="2"/>
  <c r="N642" i="2"/>
  <c r="AP641" i="2"/>
  <c r="AN641" i="2"/>
  <c r="AC641" i="2"/>
  <c r="AB641" i="2"/>
  <c r="S641" i="2"/>
  <c r="O641" i="2"/>
  <c r="N641" i="2"/>
  <c r="AE641" i="2" s="1"/>
  <c r="AP640" i="2"/>
  <c r="AN640" i="2"/>
  <c r="AG640" i="2"/>
  <c r="AF640" i="2"/>
  <c r="AC640" i="2"/>
  <c r="AB640" i="2"/>
  <c r="V640" i="2"/>
  <c r="S640" i="2"/>
  <c r="O640" i="2"/>
  <c r="N640" i="2"/>
  <c r="AI640" i="2" s="1"/>
  <c r="AP639" i="2"/>
  <c r="AN639" i="2"/>
  <c r="AI639" i="2"/>
  <c r="AC639" i="2"/>
  <c r="AE639" i="2" s="1"/>
  <c r="AB639" i="2"/>
  <c r="S639" i="2"/>
  <c r="O639" i="2"/>
  <c r="P639" i="2" s="1"/>
  <c r="U639" i="2" s="1"/>
  <c r="N639" i="2"/>
  <c r="V639" i="2" s="1"/>
  <c r="AP638" i="2"/>
  <c r="AN638" i="2"/>
  <c r="AI638" i="2"/>
  <c r="AE638" i="2"/>
  <c r="AC638" i="2"/>
  <c r="AB638" i="2"/>
  <c r="S638" i="2"/>
  <c r="O638" i="2"/>
  <c r="N638" i="2"/>
  <c r="AP637" i="2"/>
  <c r="AN637" i="2"/>
  <c r="AC637" i="2"/>
  <c r="AB637" i="2"/>
  <c r="S637" i="2"/>
  <c r="O637" i="2"/>
  <c r="N637" i="2"/>
  <c r="AP636" i="2"/>
  <c r="AN636" i="2"/>
  <c r="AC636" i="2"/>
  <c r="AB636" i="2"/>
  <c r="S636" i="2"/>
  <c r="O636" i="2"/>
  <c r="N636" i="2"/>
  <c r="AP635" i="2"/>
  <c r="AN635" i="2"/>
  <c r="AC635" i="2"/>
  <c r="AB635" i="2"/>
  <c r="S635" i="2"/>
  <c r="O635" i="2"/>
  <c r="N635" i="2"/>
  <c r="AP634" i="2"/>
  <c r="AN634" i="2"/>
  <c r="AI634" i="2"/>
  <c r="AH634" i="2"/>
  <c r="AG634" i="2"/>
  <c r="AE634" i="2"/>
  <c r="AC634" i="2"/>
  <c r="AB634" i="2"/>
  <c r="S634" i="2"/>
  <c r="P634" i="2"/>
  <c r="U634" i="2" s="1"/>
  <c r="O634" i="2"/>
  <c r="V634" i="2" s="1"/>
  <c r="N634" i="2"/>
  <c r="AF634" i="2" s="1"/>
  <c r="AP633" i="2"/>
  <c r="AN633" i="2"/>
  <c r="AI633" i="2"/>
  <c r="AC633" i="2"/>
  <c r="AH633" i="2" s="1"/>
  <c r="AB633" i="2"/>
  <c r="V633" i="2"/>
  <c r="S633" i="2"/>
  <c r="P633" i="2"/>
  <c r="U633" i="2" s="1"/>
  <c r="O633" i="2"/>
  <c r="N633" i="2"/>
  <c r="AP632" i="2"/>
  <c r="AN632" i="2"/>
  <c r="AC632" i="2"/>
  <c r="AB632" i="2"/>
  <c r="AG632" i="2" s="1"/>
  <c r="S632" i="2"/>
  <c r="O632" i="2"/>
  <c r="N632" i="2"/>
  <c r="AE632" i="2" s="1"/>
  <c r="AP631" i="2"/>
  <c r="AN631" i="2"/>
  <c r="AG631" i="2"/>
  <c r="AC631" i="2"/>
  <c r="AB631" i="2"/>
  <c r="S631" i="2"/>
  <c r="P631" i="2"/>
  <c r="U631" i="2" s="1"/>
  <c r="O631" i="2"/>
  <c r="N631" i="2"/>
  <c r="AF631" i="2" s="1"/>
  <c r="AP630" i="2"/>
  <c r="AN630" i="2"/>
  <c r="AC630" i="2"/>
  <c r="AB630" i="2"/>
  <c r="AE630" i="2" s="1"/>
  <c r="S630" i="2"/>
  <c r="P630" i="2"/>
  <c r="O630" i="2"/>
  <c r="N630" i="2"/>
  <c r="AI630" i="2" s="1"/>
  <c r="AP629" i="2"/>
  <c r="AN629" i="2"/>
  <c r="AC629" i="2"/>
  <c r="AB629" i="2"/>
  <c r="AH629" i="2" s="1"/>
  <c r="S629" i="2"/>
  <c r="P629" i="2"/>
  <c r="O629" i="2"/>
  <c r="V629" i="2" s="1"/>
  <c r="N629" i="2"/>
  <c r="AG629" i="2" s="1"/>
  <c r="AP628" i="2"/>
  <c r="AN628" i="2"/>
  <c r="AC628" i="2"/>
  <c r="AB628" i="2"/>
  <c r="S628" i="2"/>
  <c r="O628" i="2"/>
  <c r="V628" i="2" s="1"/>
  <c r="N628" i="2"/>
  <c r="AP627" i="2"/>
  <c r="AN627" i="2"/>
  <c r="AH627" i="2"/>
  <c r="AC627" i="2"/>
  <c r="AB627" i="2"/>
  <c r="AE627" i="2" s="1"/>
  <c r="S627" i="2"/>
  <c r="O627" i="2"/>
  <c r="P627" i="2" s="1"/>
  <c r="U627" i="2" s="1"/>
  <c r="N627" i="2"/>
  <c r="AP626" i="2"/>
  <c r="AN626" i="2"/>
  <c r="AC626" i="2"/>
  <c r="AB626" i="2"/>
  <c r="S626" i="2"/>
  <c r="P626" i="2"/>
  <c r="U626" i="2" s="1"/>
  <c r="O626" i="2"/>
  <c r="N626" i="2"/>
  <c r="AG626" i="2" s="1"/>
  <c r="AP625" i="2"/>
  <c r="AN625" i="2"/>
  <c r="AI625" i="2"/>
  <c r="AC625" i="2"/>
  <c r="AH625" i="2" s="1"/>
  <c r="AB625" i="2"/>
  <c r="AG625" i="2" s="1"/>
  <c r="V625" i="2"/>
  <c r="S625" i="2"/>
  <c r="P625" i="2"/>
  <c r="U625" i="2" s="1"/>
  <c r="O625" i="2"/>
  <c r="N625" i="2"/>
  <c r="AP624" i="2"/>
  <c r="AN624" i="2"/>
  <c r="AC624" i="2"/>
  <c r="AB624" i="2"/>
  <c r="AG624" i="2" s="1"/>
  <c r="V624" i="2"/>
  <c r="S624" i="2"/>
  <c r="O624" i="2"/>
  <c r="P624" i="2" s="1"/>
  <c r="U624" i="2" s="1"/>
  <c r="N624" i="2"/>
  <c r="AH624" i="2" s="1"/>
  <c r="AP623" i="2"/>
  <c r="AN623" i="2"/>
  <c r="AG623" i="2"/>
  <c r="AF623" i="2"/>
  <c r="AE623" i="2"/>
  <c r="AC623" i="2"/>
  <c r="AB623" i="2"/>
  <c r="V623" i="2"/>
  <c r="S623" i="2"/>
  <c r="O623" i="2"/>
  <c r="P623" i="2" s="1"/>
  <c r="U623" i="2" s="1"/>
  <c r="N623" i="2"/>
  <c r="AI623" i="2" s="1"/>
  <c r="AP622" i="2"/>
  <c r="AN622" i="2"/>
  <c r="AI622" i="2"/>
  <c r="AH622" i="2"/>
  <c r="AF622" i="2"/>
  <c r="AE622" i="2"/>
  <c r="AC622" i="2"/>
  <c r="AB622" i="2"/>
  <c r="S622" i="2"/>
  <c r="O622" i="2"/>
  <c r="N622" i="2"/>
  <c r="AP621" i="2"/>
  <c r="AN621" i="2"/>
  <c r="AC621" i="2"/>
  <c r="AB621" i="2"/>
  <c r="AI621" i="2" s="1"/>
  <c r="S621" i="2"/>
  <c r="O621" i="2"/>
  <c r="AG621" i="2" s="1"/>
  <c r="N621" i="2"/>
  <c r="AF621" i="2" s="1"/>
  <c r="AP620" i="2"/>
  <c r="AN620" i="2"/>
  <c r="AC620" i="2"/>
  <c r="AB620" i="2"/>
  <c r="S620" i="2"/>
  <c r="P620" i="2"/>
  <c r="U620" i="2" s="1"/>
  <c r="O620" i="2"/>
  <c r="N620" i="2"/>
  <c r="AP619" i="2"/>
  <c r="AN619" i="2"/>
  <c r="AI619" i="2"/>
  <c r="AG619" i="2"/>
  <c r="AC619" i="2"/>
  <c r="AB619" i="2"/>
  <c r="S619" i="2"/>
  <c r="O619" i="2"/>
  <c r="N619" i="2"/>
  <c r="AH619" i="2" s="1"/>
  <c r="AP618" i="2"/>
  <c r="AN618" i="2"/>
  <c r="AC618" i="2"/>
  <c r="AG618" i="2" s="1"/>
  <c r="AB618" i="2"/>
  <c r="S618" i="2"/>
  <c r="P618" i="2"/>
  <c r="U618" i="2" s="1"/>
  <c r="O618" i="2"/>
  <c r="V618" i="2" s="1"/>
  <c r="N618" i="2"/>
  <c r="AI618" i="2" s="1"/>
  <c r="AP617" i="2"/>
  <c r="AN617" i="2"/>
  <c r="AC617" i="2"/>
  <c r="AB617" i="2"/>
  <c r="V617" i="2"/>
  <c r="S617" i="2"/>
  <c r="P617" i="2"/>
  <c r="U617" i="2" s="1"/>
  <c r="O617" i="2"/>
  <c r="N617" i="2"/>
  <c r="AP616" i="2"/>
  <c r="AN616" i="2"/>
  <c r="AG616" i="2"/>
  <c r="AC616" i="2"/>
  <c r="AB616" i="2"/>
  <c r="S616" i="2"/>
  <c r="O616" i="2"/>
  <c r="V616" i="2" s="1"/>
  <c r="N616" i="2"/>
  <c r="AI616" i="2" s="1"/>
  <c r="AP615" i="2"/>
  <c r="AN615" i="2"/>
  <c r="AC615" i="2"/>
  <c r="AB615" i="2"/>
  <c r="V615" i="2"/>
  <c r="S615" i="2"/>
  <c r="P615" i="2"/>
  <c r="O615" i="2"/>
  <c r="N615" i="2"/>
  <c r="AI615" i="2" s="1"/>
  <c r="AP614" i="2"/>
  <c r="AN614" i="2"/>
  <c r="AC614" i="2"/>
  <c r="AB614" i="2"/>
  <c r="V614" i="2"/>
  <c r="S614" i="2"/>
  <c r="P614" i="2"/>
  <c r="O614" i="2"/>
  <c r="N614" i="2"/>
  <c r="AH614" i="2" s="1"/>
  <c r="AP613" i="2"/>
  <c r="AN613" i="2"/>
  <c r="AC613" i="2"/>
  <c r="AB613" i="2"/>
  <c r="S613" i="2"/>
  <c r="P613" i="2"/>
  <c r="U613" i="2" s="1"/>
  <c r="O613" i="2"/>
  <c r="V613" i="2" s="1"/>
  <c r="N613" i="2"/>
  <c r="AP612" i="2"/>
  <c r="AN612" i="2"/>
  <c r="AC612" i="2"/>
  <c r="AB612" i="2"/>
  <c r="S612" i="2"/>
  <c r="O612" i="2"/>
  <c r="V612" i="2" s="1"/>
  <c r="N612" i="2"/>
  <c r="AI612" i="2" s="1"/>
  <c r="AP611" i="2"/>
  <c r="AN611" i="2"/>
  <c r="AC611" i="2"/>
  <c r="AB611" i="2"/>
  <c r="S611" i="2"/>
  <c r="O611" i="2"/>
  <c r="N611" i="2"/>
  <c r="AP610" i="2"/>
  <c r="AN610" i="2"/>
  <c r="AC610" i="2"/>
  <c r="AB610" i="2"/>
  <c r="AI610" i="2" s="1"/>
  <c r="V610" i="2"/>
  <c r="S610" i="2"/>
  <c r="P610" i="2"/>
  <c r="U610" i="2" s="1"/>
  <c r="O610" i="2"/>
  <c r="N610" i="2"/>
  <c r="AG610" i="2" s="1"/>
  <c r="AP609" i="2"/>
  <c r="AN609" i="2"/>
  <c r="AI609" i="2"/>
  <c r="AH609" i="2"/>
  <c r="AF609" i="2"/>
  <c r="AC609" i="2"/>
  <c r="AB609" i="2"/>
  <c r="S609" i="2"/>
  <c r="P609" i="2"/>
  <c r="U609" i="2" s="1"/>
  <c r="O609" i="2"/>
  <c r="N609" i="2"/>
  <c r="AE609" i="2" s="1"/>
  <c r="AP608" i="2"/>
  <c r="AN608" i="2"/>
  <c r="AC608" i="2"/>
  <c r="AB608" i="2"/>
  <c r="V608" i="2"/>
  <c r="S608" i="2"/>
  <c r="O608" i="2"/>
  <c r="P608" i="2" s="1"/>
  <c r="U608" i="2" s="1"/>
  <c r="N608" i="2"/>
  <c r="AI608" i="2" s="1"/>
  <c r="AP607" i="2"/>
  <c r="AN607" i="2"/>
  <c r="AC607" i="2"/>
  <c r="AB607" i="2"/>
  <c r="S607" i="2"/>
  <c r="O607" i="2"/>
  <c r="V607" i="2" s="1"/>
  <c r="N607" i="2"/>
  <c r="AI607" i="2" s="1"/>
  <c r="AP606" i="2"/>
  <c r="AN606" i="2"/>
  <c r="AC606" i="2"/>
  <c r="AB606" i="2"/>
  <c r="S606" i="2"/>
  <c r="O606" i="2"/>
  <c r="N606" i="2"/>
  <c r="AP605" i="2"/>
  <c r="AN605" i="2"/>
  <c r="AC605" i="2"/>
  <c r="AB605" i="2"/>
  <c r="AI605" i="2" s="1"/>
  <c r="V605" i="2"/>
  <c r="S605" i="2"/>
  <c r="P605" i="2"/>
  <c r="U605" i="2" s="1"/>
  <c r="O605" i="2"/>
  <c r="N605" i="2"/>
  <c r="AP604" i="2"/>
  <c r="AN604" i="2"/>
  <c r="AI604" i="2"/>
  <c r="AC604" i="2"/>
  <c r="AB604" i="2"/>
  <c r="S604" i="2"/>
  <c r="O604" i="2"/>
  <c r="N604" i="2"/>
  <c r="AH604" i="2" s="1"/>
  <c r="AP603" i="2"/>
  <c r="AN603" i="2"/>
  <c r="AC603" i="2"/>
  <c r="AB603" i="2"/>
  <c r="AF603" i="2" s="1"/>
  <c r="S603" i="2"/>
  <c r="P603" i="2"/>
  <c r="U603" i="2" s="1"/>
  <c r="O603" i="2"/>
  <c r="V603" i="2" s="1"/>
  <c r="N603" i="2"/>
  <c r="AI603" i="2" s="1"/>
  <c r="AP602" i="2"/>
  <c r="AN602" i="2"/>
  <c r="AI602" i="2"/>
  <c r="AG602" i="2"/>
  <c r="AC602" i="2"/>
  <c r="AB602" i="2"/>
  <c r="S602" i="2"/>
  <c r="O602" i="2"/>
  <c r="V602" i="2" s="1"/>
  <c r="N602" i="2"/>
  <c r="AF602" i="2" s="1"/>
  <c r="AP601" i="2"/>
  <c r="AN601" i="2"/>
  <c r="AC601" i="2"/>
  <c r="AB601" i="2"/>
  <c r="S601" i="2"/>
  <c r="O601" i="2"/>
  <c r="P601" i="2" s="1"/>
  <c r="U601" i="2" s="1"/>
  <c r="N601" i="2"/>
  <c r="AI601" i="2" s="1"/>
  <c r="AP600" i="2"/>
  <c r="AN600" i="2"/>
  <c r="AI600" i="2"/>
  <c r="AH600" i="2"/>
  <c r="AG600" i="2"/>
  <c r="AE600" i="2"/>
  <c r="AC600" i="2"/>
  <c r="AB600" i="2"/>
  <c r="S600" i="2"/>
  <c r="O600" i="2"/>
  <c r="V600" i="2" s="1"/>
  <c r="N600" i="2"/>
  <c r="AP599" i="2"/>
  <c r="AN599" i="2"/>
  <c r="AI599" i="2"/>
  <c r="AH599" i="2"/>
  <c r="AF599" i="2"/>
  <c r="AE599" i="2"/>
  <c r="AC599" i="2"/>
  <c r="AB599" i="2"/>
  <c r="V599" i="2"/>
  <c r="S599" i="2"/>
  <c r="P599" i="2"/>
  <c r="U599" i="2" s="1"/>
  <c r="O599" i="2"/>
  <c r="N599" i="2"/>
  <c r="AG599" i="2" s="1"/>
  <c r="AP598" i="2"/>
  <c r="AN598" i="2"/>
  <c r="AC598" i="2"/>
  <c r="AB598" i="2"/>
  <c r="V598" i="2"/>
  <c r="S598" i="2"/>
  <c r="P598" i="2"/>
  <c r="O598" i="2"/>
  <c r="N598" i="2"/>
  <c r="AH598" i="2" s="1"/>
  <c r="AP597" i="2"/>
  <c r="AN597" i="2"/>
  <c r="AC597" i="2"/>
  <c r="AB597" i="2"/>
  <c r="S597" i="2"/>
  <c r="P597" i="2"/>
  <c r="U597" i="2" s="1"/>
  <c r="O597" i="2"/>
  <c r="V597" i="2" s="1"/>
  <c r="N597" i="2"/>
  <c r="AP596" i="2"/>
  <c r="AN596" i="2"/>
  <c r="AC596" i="2"/>
  <c r="AB596" i="2"/>
  <c r="S596" i="2"/>
  <c r="O596" i="2"/>
  <c r="V596" i="2" s="1"/>
  <c r="N596" i="2"/>
  <c r="AI596" i="2" s="1"/>
  <c r="AP595" i="2"/>
  <c r="AN595" i="2"/>
  <c r="AC595" i="2"/>
  <c r="AB595" i="2"/>
  <c r="S595" i="2"/>
  <c r="O595" i="2"/>
  <c r="N595" i="2"/>
  <c r="AP594" i="2"/>
  <c r="AN594" i="2"/>
  <c r="AC594" i="2"/>
  <c r="AB594" i="2"/>
  <c r="AI594" i="2" s="1"/>
  <c r="V594" i="2"/>
  <c r="S594" i="2"/>
  <c r="P594" i="2"/>
  <c r="U594" i="2" s="1"/>
  <c r="O594" i="2"/>
  <c r="N594" i="2"/>
  <c r="AG594" i="2" s="1"/>
  <c r="AP593" i="2"/>
  <c r="AN593" i="2"/>
  <c r="AI593" i="2"/>
  <c r="AH593" i="2"/>
  <c r="AF593" i="2"/>
  <c r="AC593" i="2"/>
  <c r="AB593" i="2"/>
  <c r="S593" i="2"/>
  <c r="P593" i="2"/>
  <c r="U593" i="2" s="1"/>
  <c r="O593" i="2"/>
  <c r="N593" i="2"/>
  <c r="AE593" i="2" s="1"/>
  <c r="AP592" i="2"/>
  <c r="AN592" i="2"/>
  <c r="AC592" i="2"/>
  <c r="AB592" i="2"/>
  <c r="V592" i="2"/>
  <c r="S592" i="2"/>
  <c r="O592" i="2"/>
  <c r="P592" i="2" s="1"/>
  <c r="U592" i="2" s="1"/>
  <c r="N592" i="2"/>
  <c r="AI592" i="2" s="1"/>
  <c r="AP591" i="2"/>
  <c r="AN591" i="2"/>
  <c r="AF591" i="2"/>
  <c r="AC591" i="2"/>
  <c r="AH591" i="2" s="1"/>
  <c r="AB591" i="2"/>
  <c r="S591" i="2"/>
  <c r="O591" i="2"/>
  <c r="V591" i="2" s="1"/>
  <c r="N591" i="2"/>
  <c r="AI591" i="2" s="1"/>
  <c r="AP590" i="2"/>
  <c r="AN590" i="2"/>
  <c r="AC590" i="2"/>
  <c r="AB590" i="2"/>
  <c r="S590" i="2"/>
  <c r="O590" i="2"/>
  <c r="N590" i="2"/>
  <c r="AF590" i="2" s="1"/>
  <c r="AP589" i="2"/>
  <c r="AN589" i="2"/>
  <c r="AE589" i="2"/>
  <c r="AC589" i="2"/>
  <c r="AB589" i="2"/>
  <c r="AI589" i="2" s="1"/>
  <c r="V589" i="2"/>
  <c r="S589" i="2"/>
  <c r="P589" i="2"/>
  <c r="U589" i="2" s="1"/>
  <c r="O589" i="2"/>
  <c r="N589" i="2"/>
  <c r="AP588" i="2"/>
  <c r="AN588" i="2"/>
  <c r="AI588" i="2"/>
  <c r="AC588" i="2"/>
  <c r="AB588" i="2"/>
  <c r="S588" i="2"/>
  <c r="P588" i="2"/>
  <c r="U588" i="2" s="1"/>
  <c r="O588" i="2"/>
  <c r="N588" i="2"/>
  <c r="AH588" i="2" s="1"/>
  <c r="AP587" i="2"/>
  <c r="AN587" i="2"/>
  <c r="AC587" i="2"/>
  <c r="AB587" i="2"/>
  <c r="AF587" i="2" s="1"/>
  <c r="S587" i="2"/>
  <c r="P587" i="2"/>
  <c r="O587" i="2"/>
  <c r="V587" i="2" s="1"/>
  <c r="N587" i="2"/>
  <c r="AI587" i="2" s="1"/>
  <c r="AP586" i="2"/>
  <c r="AN586" i="2"/>
  <c r="AC586" i="2"/>
  <c r="AB586" i="2"/>
  <c r="S586" i="2"/>
  <c r="O586" i="2"/>
  <c r="N586" i="2"/>
  <c r="AP585" i="2"/>
  <c r="AN585" i="2"/>
  <c r="AC585" i="2"/>
  <c r="AB585" i="2"/>
  <c r="S585" i="2"/>
  <c r="O585" i="2"/>
  <c r="P585" i="2" s="1"/>
  <c r="U585" i="2" s="1"/>
  <c r="N585" i="2"/>
  <c r="AI585" i="2" s="1"/>
  <c r="AP584" i="2"/>
  <c r="AN584" i="2"/>
  <c r="AI584" i="2"/>
  <c r="AH584" i="2"/>
  <c r="AG584" i="2"/>
  <c r="AE584" i="2"/>
  <c r="AC584" i="2"/>
  <c r="AB584" i="2"/>
  <c r="S584" i="2"/>
  <c r="O584" i="2"/>
  <c r="V584" i="2" s="1"/>
  <c r="N584" i="2"/>
  <c r="AP583" i="2"/>
  <c r="AN583" i="2"/>
  <c r="AI583" i="2"/>
  <c r="AH583" i="2"/>
  <c r="AF583" i="2"/>
  <c r="AE583" i="2"/>
  <c r="AC583" i="2"/>
  <c r="AB583" i="2"/>
  <c r="V583" i="2"/>
  <c r="S583" i="2"/>
  <c r="P583" i="2"/>
  <c r="U583" i="2" s="1"/>
  <c r="O583" i="2"/>
  <c r="N583" i="2"/>
  <c r="AG583" i="2" s="1"/>
  <c r="AP582" i="2"/>
  <c r="AN582" i="2"/>
  <c r="AF582" i="2"/>
  <c r="AE582" i="2"/>
  <c r="AC582" i="2"/>
  <c r="AB582" i="2"/>
  <c r="V582" i="2"/>
  <c r="S582" i="2"/>
  <c r="P582" i="2"/>
  <c r="U582" i="2" s="1"/>
  <c r="O582" i="2"/>
  <c r="N582" i="2"/>
  <c r="AH582" i="2" s="1"/>
  <c r="AP581" i="2"/>
  <c r="AN581" i="2"/>
  <c r="AC581" i="2"/>
  <c r="AB581" i="2"/>
  <c r="S581" i="2"/>
  <c r="P581" i="2"/>
  <c r="U581" i="2" s="1"/>
  <c r="O581" i="2"/>
  <c r="N581" i="2"/>
  <c r="AP580" i="2"/>
  <c r="AN580" i="2"/>
  <c r="AC580" i="2"/>
  <c r="AB580" i="2"/>
  <c r="S580" i="2"/>
  <c r="O580" i="2"/>
  <c r="V580" i="2" s="1"/>
  <c r="N580" i="2"/>
  <c r="AP579" i="2"/>
  <c r="AN579" i="2"/>
  <c r="AC579" i="2"/>
  <c r="AB579" i="2"/>
  <c r="S579" i="2"/>
  <c r="O579" i="2"/>
  <c r="N579" i="2"/>
  <c r="AP578" i="2"/>
  <c r="AN578" i="2"/>
  <c r="AC578" i="2"/>
  <c r="AB578" i="2"/>
  <c r="AI578" i="2" s="1"/>
  <c r="V578" i="2"/>
  <c r="S578" i="2"/>
  <c r="P578" i="2"/>
  <c r="U578" i="2" s="1"/>
  <c r="O578" i="2"/>
  <c r="N578" i="2"/>
  <c r="AG578" i="2" s="1"/>
  <c r="AP577" i="2"/>
  <c r="AN577" i="2"/>
  <c r="AI577" i="2"/>
  <c r="AH577" i="2"/>
  <c r="AF577" i="2"/>
  <c r="AC577" i="2"/>
  <c r="AB577" i="2"/>
  <c r="S577" i="2"/>
  <c r="P577" i="2"/>
  <c r="U577" i="2" s="1"/>
  <c r="O577" i="2"/>
  <c r="N577" i="2"/>
  <c r="AE577" i="2" s="1"/>
  <c r="AP576" i="2"/>
  <c r="AN576" i="2"/>
  <c r="AC576" i="2"/>
  <c r="AB576" i="2"/>
  <c r="V576" i="2"/>
  <c r="S576" i="2"/>
  <c r="O576" i="2"/>
  <c r="P576" i="2" s="1"/>
  <c r="U576" i="2" s="1"/>
  <c r="N576" i="2"/>
  <c r="AI576" i="2" s="1"/>
  <c r="AP575" i="2"/>
  <c r="AN575" i="2"/>
  <c r="AF575" i="2"/>
  <c r="AC575" i="2"/>
  <c r="AH575" i="2" s="1"/>
  <c r="AB575" i="2"/>
  <c r="S575" i="2"/>
  <c r="O575" i="2"/>
  <c r="V575" i="2" s="1"/>
  <c r="N575" i="2"/>
  <c r="AI575" i="2" s="1"/>
  <c r="AP574" i="2"/>
  <c r="AN574" i="2"/>
  <c r="AC574" i="2"/>
  <c r="AB574" i="2"/>
  <c r="S574" i="2"/>
  <c r="O574" i="2"/>
  <c r="N574" i="2"/>
  <c r="AP573" i="2"/>
  <c r="AN573" i="2"/>
  <c r="AF573" i="2"/>
  <c r="AC573" i="2"/>
  <c r="AH573" i="2" s="1"/>
  <c r="AB573" i="2"/>
  <c r="AG573" i="2" s="1"/>
  <c r="V573" i="2"/>
  <c r="S573" i="2"/>
  <c r="P573" i="2"/>
  <c r="U573" i="2" s="1"/>
  <c r="O573" i="2"/>
  <c r="N573" i="2"/>
  <c r="AI573" i="2" s="1"/>
  <c r="AP572" i="2"/>
  <c r="AN572" i="2"/>
  <c r="AC572" i="2"/>
  <c r="AB572" i="2"/>
  <c r="S572" i="2"/>
  <c r="O572" i="2"/>
  <c r="N572" i="2"/>
  <c r="AH572" i="2" s="1"/>
  <c r="AP571" i="2"/>
  <c r="AN571" i="2"/>
  <c r="AC571" i="2"/>
  <c r="AB571" i="2"/>
  <c r="S571" i="2"/>
  <c r="P571" i="2"/>
  <c r="U571" i="2" s="1"/>
  <c r="O571" i="2"/>
  <c r="V571" i="2" s="1"/>
  <c r="N571" i="2"/>
  <c r="AI571" i="2" s="1"/>
  <c r="AP570" i="2"/>
  <c r="AN570" i="2"/>
  <c r="AI570" i="2"/>
  <c r="AG570" i="2"/>
  <c r="AC570" i="2"/>
  <c r="AB570" i="2"/>
  <c r="S570" i="2"/>
  <c r="O570" i="2"/>
  <c r="N570" i="2"/>
  <c r="AP569" i="2"/>
  <c r="AN569" i="2"/>
  <c r="AC569" i="2"/>
  <c r="AB569" i="2"/>
  <c r="S569" i="2"/>
  <c r="O569" i="2"/>
  <c r="N569" i="2"/>
  <c r="AI569" i="2" s="1"/>
  <c r="AP568" i="2"/>
  <c r="AN568" i="2"/>
  <c r="AI568" i="2"/>
  <c r="AH568" i="2"/>
  <c r="AG568" i="2"/>
  <c r="AE568" i="2"/>
  <c r="AC568" i="2"/>
  <c r="AB568" i="2"/>
  <c r="S568" i="2"/>
  <c r="O568" i="2"/>
  <c r="V568" i="2" s="1"/>
  <c r="N568" i="2"/>
  <c r="AP567" i="2"/>
  <c r="AN567" i="2"/>
  <c r="AI567" i="2"/>
  <c r="AH567" i="2"/>
  <c r="AF567" i="2"/>
  <c r="AE567" i="2"/>
  <c r="AC567" i="2"/>
  <c r="AB567" i="2"/>
  <c r="V567" i="2"/>
  <c r="S567" i="2"/>
  <c r="P567" i="2"/>
  <c r="U567" i="2" s="1"/>
  <c r="O567" i="2"/>
  <c r="N567" i="2"/>
  <c r="AG567" i="2" s="1"/>
  <c r="AP566" i="2"/>
  <c r="AN566" i="2"/>
  <c r="AG566" i="2"/>
  <c r="AF566" i="2"/>
  <c r="AC566" i="2"/>
  <c r="AB566" i="2"/>
  <c r="AI566" i="2" s="1"/>
  <c r="V566" i="2"/>
  <c r="S566" i="2"/>
  <c r="P566" i="2"/>
  <c r="U566" i="2" s="1"/>
  <c r="O566" i="2"/>
  <c r="N566" i="2"/>
  <c r="AP565" i="2"/>
  <c r="AN565" i="2"/>
  <c r="AG565" i="2"/>
  <c r="AC565" i="2"/>
  <c r="AB565" i="2"/>
  <c r="S565" i="2"/>
  <c r="P565" i="2"/>
  <c r="U565" i="2" s="1"/>
  <c r="O565" i="2"/>
  <c r="V565" i="2" s="1"/>
  <c r="N565" i="2"/>
  <c r="AP564" i="2"/>
  <c r="AN564" i="2"/>
  <c r="AE564" i="2"/>
  <c r="AC564" i="2"/>
  <c r="AB564" i="2"/>
  <c r="AG564" i="2" s="1"/>
  <c r="S564" i="2"/>
  <c r="W564" i="2" s="1"/>
  <c r="X564" i="2" s="1"/>
  <c r="O564" i="2"/>
  <c r="V564" i="2" s="1"/>
  <c r="N564" i="2"/>
  <c r="AP563" i="2"/>
  <c r="AN563" i="2"/>
  <c r="AC563" i="2"/>
  <c r="AB563" i="2"/>
  <c r="S563" i="2"/>
  <c r="O563" i="2"/>
  <c r="N563" i="2"/>
  <c r="AP562" i="2"/>
  <c r="AN562" i="2"/>
  <c r="AE562" i="2"/>
  <c r="AC562" i="2"/>
  <c r="AB562" i="2"/>
  <c r="V562" i="2"/>
  <c r="S562" i="2"/>
  <c r="O562" i="2"/>
  <c r="P562" i="2" s="1"/>
  <c r="U562" i="2" s="1"/>
  <c r="N562" i="2"/>
  <c r="AF562" i="2" s="1"/>
  <c r="AP561" i="2"/>
  <c r="AN561" i="2"/>
  <c r="AI561" i="2"/>
  <c r="AF561" i="2"/>
  <c r="AC561" i="2"/>
  <c r="AB561" i="2"/>
  <c r="S561" i="2"/>
  <c r="P561" i="2"/>
  <c r="U561" i="2" s="1"/>
  <c r="O561" i="2"/>
  <c r="N561" i="2"/>
  <c r="AP560" i="2"/>
  <c r="AN560" i="2"/>
  <c r="AI560" i="2"/>
  <c r="AC560" i="2"/>
  <c r="AB560" i="2"/>
  <c r="S560" i="2"/>
  <c r="P560" i="2"/>
  <c r="O560" i="2"/>
  <c r="N560" i="2"/>
  <c r="AP559" i="2"/>
  <c r="AN559" i="2"/>
  <c r="AF559" i="2"/>
  <c r="AC559" i="2"/>
  <c r="AB559" i="2"/>
  <c r="S559" i="2"/>
  <c r="O559" i="2"/>
  <c r="V559" i="2" s="1"/>
  <c r="N559" i="2"/>
  <c r="AP558" i="2"/>
  <c r="AN558" i="2"/>
  <c r="AC558" i="2"/>
  <c r="AB558" i="2"/>
  <c r="S558" i="2"/>
  <c r="O558" i="2"/>
  <c r="P558" i="2" s="1"/>
  <c r="U558" i="2" s="1"/>
  <c r="N558" i="2"/>
  <c r="AP557" i="2"/>
  <c r="AN557" i="2"/>
  <c r="AC557" i="2"/>
  <c r="AB557" i="2"/>
  <c r="V557" i="2"/>
  <c r="S557" i="2"/>
  <c r="P557" i="2"/>
  <c r="U557" i="2" s="1"/>
  <c r="O557" i="2"/>
  <c r="N557" i="2"/>
  <c r="AI557" i="2" s="1"/>
  <c r="AP556" i="2"/>
  <c r="AN556" i="2"/>
  <c r="AI556" i="2"/>
  <c r="AE556" i="2"/>
  <c r="AC556" i="2"/>
  <c r="AB556" i="2"/>
  <c r="S556" i="2"/>
  <c r="P556" i="2"/>
  <c r="U556" i="2" s="1"/>
  <c r="O556" i="2"/>
  <c r="V556" i="2" s="1"/>
  <c r="N556" i="2"/>
  <c r="AP555" i="2"/>
  <c r="AN555" i="2"/>
  <c r="AC555" i="2"/>
  <c r="AB555" i="2"/>
  <c r="S555" i="2"/>
  <c r="P555" i="2"/>
  <c r="U555" i="2" s="1"/>
  <c r="O555" i="2"/>
  <c r="V555" i="2" s="1"/>
  <c r="N555" i="2"/>
  <c r="AP554" i="2"/>
  <c r="AN554" i="2"/>
  <c r="AC554" i="2"/>
  <c r="AB554" i="2"/>
  <c r="S554" i="2"/>
  <c r="O554" i="2"/>
  <c r="N554" i="2"/>
  <c r="AP553" i="2"/>
  <c r="AN553" i="2"/>
  <c r="AC553" i="2"/>
  <c r="AB553" i="2"/>
  <c r="S553" i="2"/>
  <c r="O553" i="2"/>
  <c r="P553" i="2" s="1"/>
  <c r="U553" i="2" s="1"/>
  <c r="N553" i="2"/>
  <c r="AP552" i="2"/>
  <c r="AN552" i="2"/>
  <c r="AF552" i="2"/>
  <c r="AC552" i="2"/>
  <c r="AB552" i="2"/>
  <c r="S552" i="2"/>
  <c r="O552" i="2"/>
  <c r="P552" i="2" s="1"/>
  <c r="U552" i="2" s="1"/>
  <c r="N552" i="2"/>
  <c r="AP551" i="2"/>
  <c r="AN551" i="2"/>
  <c r="AI551" i="2"/>
  <c r="AH551" i="2"/>
  <c r="AG551" i="2"/>
  <c r="AF551" i="2"/>
  <c r="AE551" i="2"/>
  <c r="AC551" i="2"/>
  <c r="AB551" i="2"/>
  <c r="V551" i="2"/>
  <c r="S551" i="2"/>
  <c r="P551" i="2"/>
  <c r="U551" i="2" s="1"/>
  <c r="O551" i="2"/>
  <c r="N551" i="2"/>
  <c r="AP550" i="2"/>
  <c r="AN550" i="2"/>
  <c r="AE550" i="2"/>
  <c r="AC550" i="2"/>
  <c r="AB550" i="2"/>
  <c r="AI550" i="2" s="1"/>
  <c r="V550" i="2"/>
  <c r="S550" i="2"/>
  <c r="P550" i="2"/>
  <c r="U550" i="2" s="1"/>
  <c r="O550" i="2"/>
  <c r="N550" i="2"/>
  <c r="AH550" i="2" s="1"/>
  <c r="AP549" i="2"/>
  <c r="AN549" i="2"/>
  <c r="AC549" i="2"/>
  <c r="AB549" i="2"/>
  <c r="AG549" i="2" s="1"/>
  <c r="S549" i="2"/>
  <c r="P549" i="2"/>
  <c r="O549" i="2"/>
  <c r="N549" i="2"/>
  <c r="AP548" i="2"/>
  <c r="AN548" i="2"/>
  <c r="AG548" i="2"/>
  <c r="AF548" i="2"/>
  <c r="AC548" i="2"/>
  <c r="AB548" i="2"/>
  <c r="S548" i="2"/>
  <c r="O548" i="2"/>
  <c r="V548" i="2" s="1"/>
  <c r="N548" i="2"/>
  <c r="AE548" i="2" s="1"/>
  <c r="AP547" i="2"/>
  <c r="AN547" i="2"/>
  <c r="AI547" i="2"/>
  <c r="AH547" i="2"/>
  <c r="AG547" i="2"/>
  <c r="AF547" i="2"/>
  <c r="AC547" i="2"/>
  <c r="AB547" i="2"/>
  <c r="V547" i="2"/>
  <c r="S547" i="2"/>
  <c r="P547" i="2"/>
  <c r="U547" i="2" s="1"/>
  <c r="O547" i="2"/>
  <c r="N547" i="2"/>
  <c r="AE547" i="2" s="1"/>
  <c r="AP546" i="2"/>
  <c r="AN546" i="2"/>
  <c r="AI546" i="2"/>
  <c r="AE546" i="2"/>
  <c r="AC546" i="2"/>
  <c r="AB546" i="2"/>
  <c r="V546" i="2"/>
  <c r="S546" i="2"/>
  <c r="P546" i="2"/>
  <c r="U546" i="2" s="1"/>
  <c r="O546" i="2"/>
  <c r="N546" i="2"/>
  <c r="AP545" i="2"/>
  <c r="AN545" i="2"/>
  <c r="AC545" i="2"/>
  <c r="AB545" i="2"/>
  <c r="S545" i="2"/>
  <c r="O545" i="2"/>
  <c r="N545" i="2"/>
  <c r="AP544" i="2"/>
  <c r="AN544" i="2"/>
  <c r="AC544" i="2"/>
  <c r="AB544" i="2"/>
  <c r="S544" i="2"/>
  <c r="P544" i="2"/>
  <c r="O544" i="2"/>
  <c r="V544" i="2" s="1"/>
  <c r="N544" i="2"/>
  <c r="AP543" i="2"/>
  <c r="AN543" i="2"/>
  <c r="AI543" i="2"/>
  <c r="AC543" i="2"/>
  <c r="AB543" i="2"/>
  <c r="S543" i="2"/>
  <c r="O543" i="2"/>
  <c r="N543" i="2"/>
  <c r="AP542" i="2"/>
  <c r="AN542" i="2"/>
  <c r="AE542" i="2"/>
  <c r="AC542" i="2"/>
  <c r="AB542" i="2"/>
  <c r="S542" i="2"/>
  <c r="P542" i="2"/>
  <c r="U542" i="2" s="1"/>
  <c r="O542" i="2"/>
  <c r="V542" i="2" s="1"/>
  <c r="N542" i="2"/>
  <c r="AI542" i="2" s="1"/>
  <c r="AP541" i="2"/>
  <c r="AN541" i="2"/>
  <c r="AH541" i="2"/>
  <c r="AG541" i="2"/>
  <c r="AC541" i="2"/>
  <c r="AB541" i="2"/>
  <c r="AI541" i="2" s="1"/>
  <c r="S541" i="2"/>
  <c r="P541" i="2"/>
  <c r="U541" i="2" s="1"/>
  <c r="O541" i="2"/>
  <c r="V541" i="2" s="1"/>
  <c r="N541" i="2"/>
  <c r="AF541" i="2" s="1"/>
  <c r="AP540" i="2"/>
  <c r="AN540" i="2"/>
  <c r="AC540" i="2"/>
  <c r="AB540" i="2"/>
  <c r="AH540" i="2" s="1"/>
  <c r="V540" i="2"/>
  <c r="S540" i="2"/>
  <c r="O540" i="2"/>
  <c r="P540" i="2" s="1"/>
  <c r="U540" i="2" s="1"/>
  <c r="N540" i="2"/>
  <c r="AI540" i="2" s="1"/>
  <c r="AP539" i="2"/>
  <c r="AN539" i="2"/>
  <c r="AF539" i="2"/>
  <c r="AE539" i="2"/>
  <c r="AC539" i="2"/>
  <c r="AB539" i="2"/>
  <c r="S539" i="2"/>
  <c r="O539" i="2"/>
  <c r="P539" i="2" s="1"/>
  <c r="U539" i="2" s="1"/>
  <c r="N539" i="2"/>
  <c r="V539" i="2" s="1"/>
  <c r="AP538" i="2"/>
  <c r="AN538" i="2"/>
  <c r="AI538" i="2"/>
  <c r="AH538" i="2"/>
  <c r="AG538" i="2"/>
  <c r="AF538" i="2"/>
  <c r="AE538" i="2"/>
  <c r="AC538" i="2"/>
  <c r="AB538" i="2"/>
  <c r="V538" i="2"/>
  <c r="S538" i="2"/>
  <c r="P538" i="2"/>
  <c r="U538" i="2" s="1"/>
  <c r="O538" i="2"/>
  <c r="N538" i="2"/>
  <c r="AP537" i="2"/>
  <c r="AN537" i="2"/>
  <c r="AC537" i="2"/>
  <c r="AB537" i="2"/>
  <c r="V537" i="2"/>
  <c r="S537" i="2"/>
  <c r="P537" i="2"/>
  <c r="U537" i="2" s="1"/>
  <c r="O537" i="2"/>
  <c r="N537" i="2"/>
  <c r="AP536" i="2"/>
  <c r="AN536" i="2"/>
  <c r="AC536" i="2"/>
  <c r="AB536" i="2"/>
  <c r="S536" i="2"/>
  <c r="O536" i="2"/>
  <c r="N536" i="2"/>
  <c r="AP535" i="2"/>
  <c r="AN535" i="2"/>
  <c r="AF535" i="2"/>
  <c r="AC535" i="2"/>
  <c r="AB535" i="2"/>
  <c r="S535" i="2"/>
  <c r="O535" i="2"/>
  <c r="V535" i="2" s="1"/>
  <c r="N535" i="2"/>
  <c r="AI535" i="2" s="1"/>
  <c r="AP534" i="2"/>
  <c r="AN534" i="2"/>
  <c r="AI534" i="2"/>
  <c r="AH534" i="2"/>
  <c r="AC534" i="2"/>
  <c r="AB534" i="2"/>
  <c r="S534" i="2"/>
  <c r="O534" i="2"/>
  <c r="V534" i="2" s="1"/>
  <c r="N534" i="2"/>
  <c r="AG534" i="2" s="1"/>
  <c r="AP533" i="2"/>
  <c r="AN533" i="2"/>
  <c r="AI533" i="2"/>
  <c r="AC533" i="2"/>
  <c r="AB533" i="2"/>
  <c r="V533" i="2"/>
  <c r="S533" i="2"/>
  <c r="O533" i="2"/>
  <c r="P533" i="2" s="1"/>
  <c r="U533" i="2" s="1"/>
  <c r="N533" i="2"/>
  <c r="AG533" i="2" s="1"/>
  <c r="AP532" i="2"/>
  <c r="AN532" i="2"/>
  <c r="AG532" i="2"/>
  <c r="AF532" i="2"/>
  <c r="AC532" i="2"/>
  <c r="AB532" i="2"/>
  <c r="S532" i="2"/>
  <c r="O532" i="2"/>
  <c r="V532" i="2" s="1"/>
  <c r="N532" i="2"/>
  <c r="AE532" i="2" s="1"/>
  <c r="AP531" i="2"/>
  <c r="AN531" i="2"/>
  <c r="AI531" i="2"/>
  <c r="AH531" i="2"/>
  <c r="AG531" i="2"/>
  <c r="AF531" i="2"/>
  <c r="AC531" i="2"/>
  <c r="AB531" i="2"/>
  <c r="V531" i="2"/>
  <c r="S531" i="2"/>
  <c r="P531" i="2"/>
  <c r="U531" i="2" s="1"/>
  <c r="O531" i="2"/>
  <c r="N531" i="2"/>
  <c r="AE531" i="2" s="1"/>
  <c r="AP530" i="2"/>
  <c r="AN530" i="2"/>
  <c r="AI530" i="2"/>
  <c r="AE530" i="2"/>
  <c r="AC530" i="2"/>
  <c r="AB530" i="2"/>
  <c r="V530" i="2"/>
  <c r="S530" i="2"/>
  <c r="P530" i="2"/>
  <c r="U530" i="2" s="1"/>
  <c r="O530" i="2"/>
  <c r="N530" i="2"/>
  <c r="AP529" i="2"/>
  <c r="AN529" i="2"/>
  <c r="AC529" i="2"/>
  <c r="AB529" i="2"/>
  <c r="S529" i="2"/>
  <c r="O529" i="2"/>
  <c r="N529" i="2"/>
  <c r="AP528" i="2"/>
  <c r="AN528" i="2"/>
  <c r="AC528" i="2"/>
  <c r="AB528" i="2"/>
  <c r="S528" i="2"/>
  <c r="P528" i="2"/>
  <c r="O528" i="2"/>
  <c r="V528" i="2" s="1"/>
  <c r="N528" i="2"/>
  <c r="AP527" i="2"/>
  <c r="AN527" i="2"/>
  <c r="AC527" i="2"/>
  <c r="AB527" i="2"/>
  <c r="S527" i="2"/>
  <c r="O527" i="2"/>
  <c r="V527" i="2" s="1"/>
  <c r="N527" i="2"/>
  <c r="AP526" i="2"/>
  <c r="AN526" i="2"/>
  <c r="AE526" i="2"/>
  <c r="AC526" i="2"/>
  <c r="AB526" i="2"/>
  <c r="S526" i="2"/>
  <c r="P526" i="2"/>
  <c r="U526" i="2" s="1"/>
  <c r="O526" i="2"/>
  <c r="V526" i="2" s="1"/>
  <c r="N526" i="2"/>
  <c r="AI526" i="2" s="1"/>
  <c r="AP525" i="2"/>
  <c r="AN525" i="2"/>
  <c r="AH525" i="2"/>
  <c r="AG525" i="2"/>
  <c r="AC525" i="2"/>
  <c r="AB525" i="2"/>
  <c r="AI525" i="2" s="1"/>
  <c r="S525" i="2"/>
  <c r="P525" i="2"/>
  <c r="U525" i="2" s="1"/>
  <c r="O525" i="2"/>
  <c r="V525" i="2" s="1"/>
  <c r="N525" i="2"/>
  <c r="AF525" i="2" s="1"/>
  <c r="AP524" i="2"/>
  <c r="AN524" i="2"/>
  <c r="AC524" i="2"/>
  <c r="AB524" i="2"/>
  <c r="AH524" i="2" s="1"/>
  <c r="V524" i="2"/>
  <c r="S524" i="2"/>
  <c r="O524" i="2"/>
  <c r="P524" i="2" s="1"/>
  <c r="U524" i="2" s="1"/>
  <c r="N524" i="2"/>
  <c r="AI524" i="2" s="1"/>
  <c r="AP523" i="2"/>
  <c r="AN523" i="2"/>
  <c r="AF523" i="2"/>
  <c r="AE523" i="2"/>
  <c r="AC523" i="2"/>
  <c r="AB523" i="2"/>
  <c r="S523" i="2"/>
  <c r="O523" i="2"/>
  <c r="P523" i="2" s="1"/>
  <c r="U523" i="2" s="1"/>
  <c r="N523" i="2"/>
  <c r="V523" i="2" s="1"/>
  <c r="AP522" i="2"/>
  <c r="AN522" i="2"/>
  <c r="AI522" i="2"/>
  <c r="AH522" i="2"/>
  <c r="AG522" i="2"/>
  <c r="AF522" i="2"/>
  <c r="AE522" i="2"/>
  <c r="AC522" i="2"/>
  <c r="AB522" i="2"/>
  <c r="V522" i="2"/>
  <c r="S522" i="2"/>
  <c r="P522" i="2"/>
  <c r="U522" i="2" s="1"/>
  <c r="O522" i="2"/>
  <c r="N522" i="2"/>
  <c r="AP521" i="2"/>
  <c r="AN521" i="2"/>
  <c r="AC521" i="2"/>
  <c r="AB521" i="2"/>
  <c r="V521" i="2"/>
  <c r="S521" i="2"/>
  <c r="P521" i="2"/>
  <c r="U521" i="2" s="1"/>
  <c r="O521" i="2"/>
  <c r="N521" i="2"/>
  <c r="AP520" i="2"/>
  <c r="AN520" i="2"/>
  <c r="AC520" i="2"/>
  <c r="AB520" i="2"/>
  <c r="S520" i="2"/>
  <c r="O520" i="2"/>
  <c r="N520" i="2"/>
  <c r="AP519" i="2"/>
  <c r="AN519" i="2"/>
  <c r="AF519" i="2"/>
  <c r="AC519" i="2"/>
  <c r="AB519" i="2"/>
  <c r="S519" i="2"/>
  <c r="O519" i="2"/>
  <c r="V519" i="2" s="1"/>
  <c r="N519" i="2"/>
  <c r="AI519" i="2" s="1"/>
  <c r="AP518" i="2"/>
  <c r="AN518" i="2"/>
  <c r="AI518" i="2"/>
  <c r="AH518" i="2"/>
  <c r="AC518" i="2"/>
  <c r="AB518" i="2"/>
  <c r="S518" i="2"/>
  <c r="O518" i="2"/>
  <c r="V518" i="2" s="1"/>
  <c r="N518" i="2"/>
  <c r="AG518" i="2" s="1"/>
  <c r="AP517" i="2"/>
  <c r="AN517" i="2"/>
  <c r="AI517" i="2"/>
  <c r="AC517" i="2"/>
  <c r="AB517" i="2"/>
  <c r="V517" i="2"/>
  <c r="S517" i="2"/>
  <c r="O517" i="2"/>
  <c r="P517" i="2" s="1"/>
  <c r="U517" i="2" s="1"/>
  <c r="N517" i="2"/>
  <c r="AG517" i="2" s="1"/>
  <c r="AP516" i="2"/>
  <c r="AN516" i="2"/>
  <c r="AG516" i="2"/>
  <c r="AF516" i="2"/>
  <c r="AC516" i="2"/>
  <c r="AB516" i="2"/>
  <c r="S516" i="2"/>
  <c r="O516" i="2"/>
  <c r="V516" i="2" s="1"/>
  <c r="N516" i="2"/>
  <c r="AE516" i="2" s="1"/>
  <c r="AP515" i="2"/>
  <c r="AN515" i="2"/>
  <c r="AI515" i="2"/>
  <c r="AH515" i="2"/>
  <c r="AG515" i="2"/>
  <c r="AF515" i="2"/>
  <c r="AC515" i="2"/>
  <c r="AB515" i="2"/>
  <c r="V515" i="2"/>
  <c r="S515" i="2"/>
  <c r="P515" i="2"/>
  <c r="U515" i="2" s="1"/>
  <c r="O515" i="2"/>
  <c r="N515" i="2"/>
  <c r="AE515" i="2" s="1"/>
  <c r="AP514" i="2"/>
  <c r="AN514" i="2"/>
  <c r="AI514" i="2"/>
  <c r="AC514" i="2"/>
  <c r="AB514" i="2"/>
  <c r="V514" i="2"/>
  <c r="S514" i="2"/>
  <c r="P514" i="2"/>
  <c r="U514" i="2" s="1"/>
  <c r="O514" i="2"/>
  <c r="N514" i="2"/>
  <c r="AP513" i="2"/>
  <c r="AN513" i="2"/>
  <c r="AC513" i="2"/>
  <c r="AB513" i="2"/>
  <c r="S513" i="2"/>
  <c r="P513" i="2"/>
  <c r="U513" i="2" s="1"/>
  <c r="O513" i="2"/>
  <c r="N513" i="2"/>
  <c r="AP512" i="2"/>
  <c r="AN512" i="2"/>
  <c r="AC512" i="2"/>
  <c r="AB512" i="2"/>
  <c r="S512" i="2"/>
  <c r="P512" i="2"/>
  <c r="O512" i="2"/>
  <c r="V512" i="2" s="1"/>
  <c r="N512" i="2"/>
  <c r="AI512" i="2" s="1"/>
  <c r="AP511" i="2"/>
  <c r="AN511" i="2"/>
  <c r="AC511" i="2"/>
  <c r="AB511" i="2"/>
  <c r="S511" i="2"/>
  <c r="O511" i="2"/>
  <c r="V511" i="2" s="1"/>
  <c r="N511" i="2"/>
  <c r="AP510" i="2"/>
  <c r="AN510" i="2"/>
  <c r="AE510" i="2"/>
  <c r="AC510" i="2"/>
  <c r="AB510" i="2"/>
  <c r="S510" i="2"/>
  <c r="P510" i="2"/>
  <c r="U510" i="2" s="1"/>
  <c r="O510" i="2"/>
  <c r="V510" i="2" s="1"/>
  <c r="N510" i="2"/>
  <c r="AI510" i="2" s="1"/>
  <c r="AP509" i="2"/>
  <c r="AN509" i="2"/>
  <c r="AH509" i="2"/>
  <c r="AG509" i="2"/>
  <c r="AC509" i="2"/>
  <c r="AB509" i="2"/>
  <c r="AI509" i="2" s="1"/>
  <c r="S509" i="2"/>
  <c r="P509" i="2"/>
  <c r="U509" i="2" s="1"/>
  <c r="O509" i="2"/>
  <c r="V509" i="2" s="1"/>
  <c r="N509" i="2"/>
  <c r="AF509" i="2" s="1"/>
  <c r="AP508" i="2"/>
  <c r="AN508" i="2"/>
  <c r="AC508" i="2"/>
  <c r="AB508" i="2"/>
  <c r="AH508" i="2" s="1"/>
  <c r="V508" i="2"/>
  <c r="S508" i="2"/>
  <c r="O508" i="2"/>
  <c r="P508" i="2" s="1"/>
  <c r="U508" i="2" s="1"/>
  <c r="N508" i="2"/>
  <c r="AI508" i="2" s="1"/>
  <c r="AP507" i="2"/>
  <c r="AN507" i="2"/>
  <c r="AF507" i="2"/>
  <c r="AE507" i="2"/>
  <c r="AC507" i="2"/>
  <c r="AB507" i="2"/>
  <c r="S507" i="2"/>
  <c r="O507" i="2"/>
  <c r="P507" i="2" s="1"/>
  <c r="U507" i="2" s="1"/>
  <c r="N507" i="2"/>
  <c r="V507" i="2" s="1"/>
  <c r="AP506" i="2"/>
  <c r="AN506" i="2"/>
  <c r="AI506" i="2"/>
  <c r="AH506" i="2"/>
  <c r="AG506" i="2"/>
  <c r="AF506" i="2"/>
  <c r="AE506" i="2"/>
  <c r="AC506" i="2"/>
  <c r="AB506" i="2"/>
  <c r="V506" i="2"/>
  <c r="S506" i="2"/>
  <c r="P506" i="2"/>
  <c r="U506" i="2" s="1"/>
  <c r="O506" i="2"/>
  <c r="N506" i="2"/>
  <c r="AP505" i="2"/>
  <c r="AN505" i="2"/>
  <c r="AC505" i="2"/>
  <c r="AB505" i="2"/>
  <c r="V505" i="2"/>
  <c r="S505" i="2"/>
  <c r="P505" i="2"/>
  <c r="U505" i="2" s="1"/>
  <c r="O505" i="2"/>
  <c r="N505" i="2"/>
  <c r="AP504" i="2"/>
  <c r="AN504" i="2"/>
  <c r="AC504" i="2"/>
  <c r="AB504" i="2"/>
  <c r="S504" i="2"/>
  <c r="O504" i="2"/>
  <c r="N504" i="2"/>
  <c r="AP503" i="2"/>
  <c r="AN503" i="2"/>
  <c r="AF503" i="2"/>
  <c r="AC503" i="2"/>
  <c r="AB503" i="2"/>
  <c r="S503" i="2"/>
  <c r="O503" i="2"/>
  <c r="V503" i="2" s="1"/>
  <c r="N503" i="2"/>
  <c r="AI503" i="2" s="1"/>
  <c r="AP502" i="2"/>
  <c r="AN502" i="2"/>
  <c r="AI502" i="2"/>
  <c r="AH502" i="2"/>
  <c r="AC502" i="2"/>
  <c r="AB502" i="2"/>
  <c r="S502" i="2"/>
  <c r="O502" i="2"/>
  <c r="V502" i="2" s="1"/>
  <c r="N502" i="2"/>
  <c r="AG502" i="2" s="1"/>
  <c r="AP501" i="2"/>
  <c r="AN501" i="2"/>
  <c r="AC501" i="2"/>
  <c r="AI501" i="2" s="1"/>
  <c r="AB501" i="2"/>
  <c r="V501" i="2"/>
  <c r="S501" i="2"/>
  <c r="O501" i="2"/>
  <c r="P501" i="2" s="1"/>
  <c r="U501" i="2" s="1"/>
  <c r="N501" i="2"/>
  <c r="AG501" i="2" s="1"/>
  <c r="AP500" i="2"/>
  <c r="AN500" i="2"/>
  <c r="AG500" i="2"/>
  <c r="AF500" i="2"/>
  <c r="AC500" i="2"/>
  <c r="AB500" i="2"/>
  <c r="S500" i="2"/>
  <c r="O500" i="2"/>
  <c r="V500" i="2" s="1"/>
  <c r="N500" i="2"/>
  <c r="AE500" i="2" s="1"/>
  <c r="AP499" i="2"/>
  <c r="AN499" i="2"/>
  <c r="AI499" i="2"/>
  <c r="AH499" i="2"/>
  <c r="AG499" i="2"/>
  <c r="AF499" i="2"/>
  <c r="AC499" i="2"/>
  <c r="AB499" i="2"/>
  <c r="V499" i="2"/>
  <c r="S499" i="2"/>
  <c r="O499" i="2"/>
  <c r="P499" i="2" s="1"/>
  <c r="U499" i="2" s="1"/>
  <c r="N499" i="2"/>
  <c r="AE499" i="2" s="1"/>
  <c r="AP498" i="2"/>
  <c r="AN498" i="2"/>
  <c r="AI498" i="2"/>
  <c r="AC498" i="2"/>
  <c r="AB498" i="2"/>
  <c r="V498" i="2"/>
  <c r="S498" i="2"/>
  <c r="O498" i="2"/>
  <c r="P498" i="2" s="1"/>
  <c r="U498" i="2" s="1"/>
  <c r="N498" i="2"/>
  <c r="AP497" i="2"/>
  <c r="AN497" i="2"/>
  <c r="AC497" i="2"/>
  <c r="AB497" i="2"/>
  <c r="S497" i="2"/>
  <c r="O497" i="2"/>
  <c r="N497" i="2"/>
  <c r="AI497" i="2" s="1"/>
  <c r="AP496" i="2"/>
  <c r="AN496" i="2"/>
  <c r="AC496" i="2"/>
  <c r="AB496" i="2"/>
  <c r="S496" i="2"/>
  <c r="W496" i="2" s="1"/>
  <c r="P496" i="2"/>
  <c r="O496" i="2"/>
  <c r="V496" i="2" s="1"/>
  <c r="N496" i="2"/>
  <c r="AP495" i="2"/>
  <c r="AN495" i="2"/>
  <c r="AI495" i="2"/>
  <c r="AC495" i="2"/>
  <c r="AB495" i="2"/>
  <c r="S495" i="2"/>
  <c r="O495" i="2"/>
  <c r="V495" i="2" s="1"/>
  <c r="N495" i="2"/>
  <c r="AP494" i="2"/>
  <c r="AN494" i="2"/>
  <c r="AE494" i="2"/>
  <c r="AC494" i="2"/>
  <c r="AB494" i="2"/>
  <c r="S494" i="2"/>
  <c r="P494" i="2"/>
  <c r="U494" i="2" s="1"/>
  <c r="O494" i="2"/>
  <c r="V494" i="2" s="1"/>
  <c r="N494" i="2"/>
  <c r="AI494" i="2" s="1"/>
  <c r="AP493" i="2"/>
  <c r="AN493" i="2"/>
  <c r="AH493" i="2"/>
  <c r="AG493" i="2"/>
  <c r="AC493" i="2"/>
  <c r="AB493" i="2"/>
  <c r="AI493" i="2" s="1"/>
  <c r="S493" i="2"/>
  <c r="P493" i="2"/>
  <c r="U493" i="2" s="1"/>
  <c r="O493" i="2"/>
  <c r="V493" i="2" s="1"/>
  <c r="N493" i="2"/>
  <c r="AF493" i="2" s="1"/>
  <c r="AP492" i="2"/>
  <c r="AN492" i="2"/>
  <c r="AC492" i="2"/>
  <c r="AB492" i="2"/>
  <c r="AH492" i="2" s="1"/>
  <c r="V492" i="2"/>
  <c r="S492" i="2"/>
  <c r="P492" i="2"/>
  <c r="U492" i="2" s="1"/>
  <c r="O492" i="2"/>
  <c r="N492" i="2"/>
  <c r="AI492" i="2" s="1"/>
  <c r="AP491" i="2"/>
  <c r="AN491" i="2"/>
  <c r="AF491" i="2"/>
  <c r="AE491" i="2"/>
  <c r="AC491" i="2"/>
  <c r="AB491" i="2"/>
  <c r="S491" i="2"/>
  <c r="P491" i="2"/>
  <c r="U491" i="2" s="1"/>
  <c r="O491" i="2"/>
  <c r="N491" i="2"/>
  <c r="V491" i="2" s="1"/>
  <c r="AP490" i="2"/>
  <c r="AN490" i="2"/>
  <c r="AH490" i="2"/>
  <c r="AG490" i="2"/>
  <c r="AF490" i="2"/>
  <c r="AE490" i="2"/>
  <c r="AC490" i="2"/>
  <c r="AB490" i="2"/>
  <c r="V490" i="2"/>
  <c r="S490" i="2"/>
  <c r="P490" i="2"/>
  <c r="U490" i="2" s="1"/>
  <c r="O490" i="2"/>
  <c r="N490" i="2"/>
  <c r="AI490" i="2" s="1"/>
  <c r="AP489" i="2"/>
  <c r="AN489" i="2"/>
  <c r="AC489" i="2"/>
  <c r="AB489" i="2"/>
  <c r="V489" i="2"/>
  <c r="S489" i="2"/>
  <c r="P489" i="2"/>
  <c r="U489" i="2" s="1"/>
  <c r="O489" i="2"/>
  <c r="N489" i="2"/>
  <c r="AI489" i="2" s="1"/>
  <c r="AP488" i="2"/>
  <c r="AN488" i="2"/>
  <c r="AC488" i="2"/>
  <c r="AB488" i="2"/>
  <c r="S488" i="2"/>
  <c r="O488" i="2"/>
  <c r="N488" i="2"/>
  <c r="AP487" i="2"/>
  <c r="AN487" i="2"/>
  <c r="AF487" i="2"/>
  <c r="AC487" i="2"/>
  <c r="AB487" i="2"/>
  <c r="S487" i="2"/>
  <c r="O487" i="2"/>
  <c r="V487" i="2" s="1"/>
  <c r="N487" i="2"/>
  <c r="AI487" i="2" s="1"/>
  <c r="AP486" i="2"/>
  <c r="AN486" i="2"/>
  <c r="AI486" i="2"/>
  <c r="AH486" i="2"/>
  <c r="AC486" i="2"/>
  <c r="AB486" i="2"/>
  <c r="S486" i="2"/>
  <c r="O486" i="2"/>
  <c r="V486" i="2" s="1"/>
  <c r="N486" i="2"/>
  <c r="AG486" i="2" s="1"/>
  <c r="AP485" i="2"/>
  <c r="AN485" i="2"/>
  <c r="AI485" i="2"/>
  <c r="AC485" i="2"/>
  <c r="AB485" i="2"/>
  <c r="V485" i="2"/>
  <c r="S485" i="2"/>
  <c r="O485" i="2"/>
  <c r="P485" i="2" s="1"/>
  <c r="U485" i="2" s="1"/>
  <c r="N485" i="2"/>
  <c r="AG485" i="2" s="1"/>
  <c r="AP484" i="2"/>
  <c r="AN484" i="2"/>
  <c r="AG484" i="2"/>
  <c r="AF484" i="2"/>
  <c r="AC484" i="2"/>
  <c r="AB484" i="2"/>
  <c r="S484" i="2"/>
  <c r="O484" i="2"/>
  <c r="V484" i="2" s="1"/>
  <c r="N484" i="2"/>
  <c r="AE484" i="2" s="1"/>
  <c r="AP483" i="2"/>
  <c r="AN483" i="2"/>
  <c r="AI483" i="2"/>
  <c r="AH483" i="2"/>
  <c r="AG483" i="2"/>
  <c r="AF483" i="2"/>
  <c r="AC483" i="2"/>
  <c r="AB483" i="2"/>
  <c r="V483" i="2"/>
  <c r="S483" i="2"/>
  <c r="O483" i="2"/>
  <c r="P483" i="2" s="1"/>
  <c r="U483" i="2" s="1"/>
  <c r="N483" i="2"/>
  <c r="AE483" i="2" s="1"/>
  <c r="AP482" i="2"/>
  <c r="AN482" i="2"/>
  <c r="AI482" i="2"/>
  <c r="AC482" i="2"/>
  <c r="AB482" i="2"/>
  <c r="V482" i="2"/>
  <c r="S482" i="2"/>
  <c r="W482" i="2" s="1"/>
  <c r="O482" i="2"/>
  <c r="P482" i="2" s="1"/>
  <c r="U482" i="2" s="1"/>
  <c r="N482" i="2"/>
  <c r="AP481" i="2"/>
  <c r="AN481" i="2"/>
  <c r="AC481" i="2"/>
  <c r="AB481" i="2"/>
  <c r="S481" i="2"/>
  <c r="P481" i="2"/>
  <c r="U481" i="2" s="1"/>
  <c r="O481" i="2"/>
  <c r="N481" i="2"/>
  <c r="AI481" i="2" s="1"/>
  <c r="AP480" i="2"/>
  <c r="AN480" i="2"/>
  <c r="AC480" i="2"/>
  <c r="AB480" i="2"/>
  <c r="S480" i="2"/>
  <c r="P480" i="2"/>
  <c r="O480" i="2"/>
  <c r="V480" i="2" s="1"/>
  <c r="N480" i="2"/>
  <c r="AI480" i="2" s="1"/>
  <c r="AP479" i="2"/>
  <c r="AN479" i="2"/>
  <c r="AI479" i="2"/>
  <c r="AC479" i="2"/>
  <c r="AB479" i="2"/>
  <c r="S479" i="2"/>
  <c r="O479" i="2"/>
  <c r="V479" i="2" s="1"/>
  <c r="N479" i="2"/>
  <c r="AP478" i="2"/>
  <c r="AN478" i="2"/>
  <c r="AE478" i="2"/>
  <c r="AC478" i="2"/>
  <c r="AB478" i="2"/>
  <c r="S478" i="2"/>
  <c r="P478" i="2"/>
  <c r="U478" i="2" s="1"/>
  <c r="O478" i="2"/>
  <c r="V478" i="2" s="1"/>
  <c r="N478" i="2"/>
  <c r="AI478" i="2" s="1"/>
  <c r="AP477" i="2"/>
  <c r="AN477" i="2"/>
  <c r="AH477" i="2"/>
  <c r="AG477" i="2"/>
  <c r="AC477" i="2"/>
  <c r="AB477" i="2"/>
  <c r="AI477" i="2" s="1"/>
  <c r="S477" i="2"/>
  <c r="P477" i="2"/>
  <c r="U477" i="2" s="1"/>
  <c r="O477" i="2"/>
  <c r="V477" i="2" s="1"/>
  <c r="N477" i="2"/>
  <c r="AF477" i="2" s="1"/>
  <c r="AP476" i="2"/>
  <c r="AN476" i="2"/>
  <c r="AC476" i="2"/>
  <c r="AB476" i="2"/>
  <c r="AH476" i="2" s="1"/>
  <c r="V476" i="2"/>
  <c r="S476" i="2"/>
  <c r="P476" i="2"/>
  <c r="U476" i="2" s="1"/>
  <c r="O476" i="2"/>
  <c r="N476" i="2"/>
  <c r="AI476" i="2" s="1"/>
  <c r="AP475" i="2"/>
  <c r="AN475" i="2"/>
  <c r="AF475" i="2"/>
  <c r="AE475" i="2"/>
  <c r="AC475" i="2"/>
  <c r="AB475" i="2"/>
  <c r="S475" i="2"/>
  <c r="O475" i="2"/>
  <c r="P475" i="2" s="1"/>
  <c r="U475" i="2" s="1"/>
  <c r="N475" i="2"/>
  <c r="V475" i="2" s="1"/>
  <c r="AP474" i="2"/>
  <c r="AN474" i="2"/>
  <c r="AH474" i="2"/>
  <c r="AG474" i="2"/>
  <c r="AF474" i="2"/>
  <c r="AE474" i="2"/>
  <c r="AC474" i="2"/>
  <c r="AB474" i="2"/>
  <c r="V474" i="2"/>
  <c r="S474" i="2"/>
  <c r="P474" i="2"/>
  <c r="U474" i="2" s="1"/>
  <c r="O474" i="2"/>
  <c r="N474" i="2"/>
  <c r="AI474" i="2" s="1"/>
  <c r="AP473" i="2"/>
  <c r="AN473" i="2"/>
  <c r="AC473" i="2"/>
  <c r="AB473" i="2"/>
  <c r="V473" i="2"/>
  <c r="S473" i="2"/>
  <c r="P473" i="2"/>
  <c r="O473" i="2"/>
  <c r="N473" i="2"/>
  <c r="AP472" i="2"/>
  <c r="AN472" i="2"/>
  <c r="AC472" i="2"/>
  <c r="AB472" i="2"/>
  <c r="S472" i="2"/>
  <c r="O472" i="2"/>
  <c r="N472" i="2"/>
  <c r="AP471" i="2"/>
  <c r="AN471" i="2"/>
  <c r="AF471" i="2"/>
  <c r="AC471" i="2"/>
  <c r="AB471" i="2"/>
  <c r="S471" i="2"/>
  <c r="O471" i="2"/>
  <c r="V471" i="2" s="1"/>
  <c r="N471" i="2"/>
  <c r="AI471" i="2" s="1"/>
  <c r="AP470" i="2"/>
  <c r="AN470" i="2"/>
  <c r="AI470" i="2"/>
  <c r="AH470" i="2"/>
  <c r="AC470" i="2"/>
  <c r="AB470" i="2"/>
  <c r="S470" i="2"/>
  <c r="O470" i="2"/>
  <c r="V470" i="2" s="1"/>
  <c r="N470" i="2"/>
  <c r="AG470" i="2" s="1"/>
  <c r="AP469" i="2"/>
  <c r="AN469" i="2"/>
  <c r="AI469" i="2"/>
  <c r="AC469" i="2"/>
  <c r="AB469" i="2"/>
  <c r="V469" i="2"/>
  <c r="S469" i="2"/>
  <c r="O469" i="2"/>
  <c r="P469" i="2" s="1"/>
  <c r="U469" i="2" s="1"/>
  <c r="N469" i="2"/>
  <c r="AG469" i="2" s="1"/>
  <c r="AP468" i="2"/>
  <c r="AN468" i="2"/>
  <c r="AG468" i="2"/>
  <c r="AF468" i="2"/>
  <c r="AC468" i="2"/>
  <c r="AB468" i="2"/>
  <c r="S468" i="2"/>
  <c r="O468" i="2"/>
  <c r="V468" i="2" s="1"/>
  <c r="N468" i="2"/>
  <c r="AE468" i="2" s="1"/>
  <c r="AP467" i="2"/>
  <c r="AN467" i="2"/>
  <c r="AI467" i="2"/>
  <c r="AH467" i="2"/>
  <c r="AG467" i="2"/>
  <c r="AF467" i="2"/>
  <c r="AC467" i="2"/>
  <c r="AB467" i="2"/>
  <c r="V467" i="2"/>
  <c r="S467" i="2"/>
  <c r="P467" i="2"/>
  <c r="U467" i="2" s="1"/>
  <c r="O467" i="2"/>
  <c r="N467" i="2"/>
  <c r="AE467" i="2" s="1"/>
  <c r="AP466" i="2"/>
  <c r="AN466" i="2"/>
  <c r="AE466" i="2"/>
  <c r="AC466" i="2"/>
  <c r="AB466" i="2"/>
  <c r="V466" i="2"/>
  <c r="S466" i="2"/>
  <c r="O466" i="2"/>
  <c r="P466" i="2" s="1"/>
  <c r="U466" i="2" s="1"/>
  <c r="N466" i="2"/>
  <c r="AP465" i="2"/>
  <c r="AN465" i="2"/>
  <c r="AC465" i="2"/>
  <c r="AB465" i="2"/>
  <c r="S465" i="2"/>
  <c r="P465" i="2"/>
  <c r="U465" i="2" s="1"/>
  <c r="O465" i="2"/>
  <c r="N465" i="2"/>
  <c r="AP464" i="2"/>
  <c r="AN464" i="2"/>
  <c r="AC464" i="2"/>
  <c r="AB464" i="2"/>
  <c r="S464" i="2"/>
  <c r="P464" i="2"/>
  <c r="U464" i="2" s="1"/>
  <c r="O464" i="2"/>
  <c r="V464" i="2" s="1"/>
  <c r="N464" i="2"/>
  <c r="AP463" i="2"/>
  <c r="AN463" i="2"/>
  <c r="AI463" i="2"/>
  <c r="AC463" i="2"/>
  <c r="AB463" i="2"/>
  <c r="S463" i="2"/>
  <c r="O463" i="2"/>
  <c r="N463" i="2"/>
  <c r="AP462" i="2"/>
  <c r="AN462" i="2"/>
  <c r="AE462" i="2"/>
  <c r="AC462" i="2"/>
  <c r="AB462" i="2"/>
  <c r="S462" i="2"/>
  <c r="P462" i="2"/>
  <c r="U462" i="2" s="1"/>
  <c r="O462" i="2"/>
  <c r="V462" i="2" s="1"/>
  <c r="N462" i="2"/>
  <c r="AI462" i="2" s="1"/>
  <c r="AP461" i="2"/>
  <c r="AN461" i="2"/>
  <c r="AH461" i="2"/>
  <c r="AG461" i="2"/>
  <c r="AC461" i="2"/>
  <c r="AB461" i="2"/>
  <c r="AI461" i="2" s="1"/>
  <c r="S461" i="2"/>
  <c r="P461" i="2"/>
  <c r="U461" i="2" s="1"/>
  <c r="O461" i="2"/>
  <c r="V461" i="2" s="1"/>
  <c r="N461" i="2"/>
  <c r="AF461" i="2" s="1"/>
  <c r="AP460" i="2"/>
  <c r="AN460" i="2"/>
  <c r="AC460" i="2"/>
  <c r="AB460" i="2"/>
  <c r="AH460" i="2" s="1"/>
  <c r="V460" i="2"/>
  <c r="S460" i="2"/>
  <c r="P460" i="2"/>
  <c r="U460" i="2" s="1"/>
  <c r="O460" i="2"/>
  <c r="N460" i="2"/>
  <c r="AP459" i="2"/>
  <c r="AN459" i="2"/>
  <c r="AE459" i="2"/>
  <c r="AC459" i="2"/>
  <c r="AB459" i="2"/>
  <c r="S459" i="2"/>
  <c r="P459" i="2"/>
  <c r="U459" i="2" s="1"/>
  <c r="O459" i="2"/>
  <c r="N459" i="2"/>
  <c r="AF459" i="2" s="1"/>
  <c r="AP458" i="2"/>
  <c r="AN458" i="2"/>
  <c r="AH458" i="2"/>
  <c r="AG458" i="2"/>
  <c r="AF458" i="2"/>
  <c r="AE458" i="2"/>
  <c r="AC458" i="2"/>
  <c r="AB458" i="2"/>
  <c r="V458" i="2"/>
  <c r="S458" i="2"/>
  <c r="P458" i="2"/>
  <c r="U458" i="2" s="1"/>
  <c r="O458" i="2"/>
  <c r="N458" i="2"/>
  <c r="AI458" i="2" s="1"/>
  <c r="AP457" i="2"/>
  <c r="AN457" i="2"/>
  <c r="AC457" i="2"/>
  <c r="AB457" i="2"/>
  <c r="V457" i="2"/>
  <c r="S457" i="2"/>
  <c r="P457" i="2"/>
  <c r="O457" i="2"/>
  <c r="N457" i="2"/>
  <c r="AI457" i="2" s="1"/>
  <c r="AP456" i="2"/>
  <c r="AN456" i="2"/>
  <c r="AC456" i="2"/>
  <c r="AB456" i="2"/>
  <c r="S456" i="2"/>
  <c r="O456" i="2"/>
  <c r="P456" i="2" s="1"/>
  <c r="U456" i="2" s="1"/>
  <c r="N456" i="2"/>
  <c r="AP455" i="2"/>
  <c r="AN455" i="2"/>
  <c r="AC455" i="2"/>
  <c r="AB455" i="2"/>
  <c r="S455" i="2"/>
  <c r="O455" i="2"/>
  <c r="AF455" i="2" s="1"/>
  <c r="N455" i="2"/>
  <c r="AI455" i="2" s="1"/>
  <c r="AP454" i="2"/>
  <c r="AN454" i="2"/>
  <c r="AI454" i="2"/>
  <c r="AH454" i="2"/>
  <c r="AC454" i="2"/>
  <c r="AB454" i="2"/>
  <c r="S454" i="2"/>
  <c r="O454" i="2"/>
  <c r="V454" i="2" s="1"/>
  <c r="N454" i="2"/>
  <c r="AG454" i="2" s="1"/>
  <c r="AP453" i="2"/>
  <c r="AN453" i="2"/>
  <c r="AC453" i="2"/>
  <c r="AI453" i="2" s="1"/>
  <c r="AB453" i="2"/>
  <c r="V453" i="2"/>
  <c r="S453" i="2"/>
  <c r="O453" i="2"/>
  <c r="P453" i="2" s="1"/>
  <c r="U453" i="2" s="1"/>
  <c r="N453" i="2"/>
  <c r="AG453" i="2" s="1"/>
  <c r="AP452" i="2"/>
  <c r="AN452" i="2"/>
  <c r="AG452" i="2"/>
  <c r="AF452" i="2"/>
  <c r="AC452" i="2"/>
  <c r="AB452" i="2"/>
  <c r="S452" i="2"/>
  <c r="O452" i="2"/>
  <c r="N452" i="2"/>
  <c r="AE452" i="2" s="1"/>
  <c r="AP451" i="2"/>
  <c r="AN451" i="2"/>
  <c r="AI451" i="2"/>
  <c r="AH451" i="2"/>
  <c r="AG451" i="2"/>
  <c r="AF451" i="2"/>
  <c r="AC451" i="2"/>
  <c r="AB451" i="2"/>
  <c r="V451" i="2"/>
  <c r="U451" i="2"/>
  <c r="S451" i="2"/>
  <c r="P451" i="2"/>
  <c r="O451" i="2"/>
  <c r="AE451" i="2" s="1"/>
  <c r="N451" i="2"/>
  <c r="AP450" i="2"/>
  <c r="AN450" i="2"/>
  <c r="AC450" i="2"/>
  <c r="AB450" i="2"/>
  <c r="V450" i="2"/>
  <c r="S450" i="2"/>
  <c r="O450" i="2"/>
  <c r="P450" i="2" s="1"/>
  <c r="U450" i="2" s="1"/>
  <c r="N450" i="2"/>
  <c r="AP449" i="2"/>
  <c r="AN449" i="2"/>
  <c r="AC449" i="2"/>
  <c r="AB449" i="2"/>
  <c r="S449" i="2"/>
  <c r="O449" i="2"/>
  <c r="N449" i="2"/>
  <c r="AP448" i="2"/>
  <c r="AN448" i="2"/>
  <c r="AC448" i="2"/>
  <c r="AB448" i="2"/>
  <c r="S448" i="2"/>
  <c r="P448" i="2"/>
  <c r="O448" i="2"/>
  <c r="V448" i="2" s="1"/>
  <c r="N448" i="2"/>
  <c r="AP447" i="2"/>
  <c r="AN447" i="2"/>
  <c r="AC447" i="2"/>
  <c r="AB447" i="2"/>
  <c r="AI447" i="2" s="1"/>
  <c r="S447" i="2"/>
  <c r="O447" i="2"/>
  <c r="N447" i="2"/>
  <c r="AP446" i="2"/>
  <c r="AN446" i="2"/>
  <c r="AC446" i="2"/>
  <c r="AB446" i="2"/>
  <c r="S446" i="2"/>
  <c r="P446" i="2"/>
  <c r="U446" i="2" s="1"/>
  <c r="O446" i="2"/>
  <c r="N446" i="2"/>
  <c r="AP445" i="2"/>
  <c r="AN445" i="2"/>
  <c r="AH445" i="2"/>
  <c r="AG445" i="2"/>
  <c r="AC445" i="2"/>
  <c r="AB445" i="2"/>
  <c r="AI445" i="2" s="1"/>
  <c r="S445" i="2"/>
  <c r="P445" i="2"/>
  <c r="U445" i="2" s="1"/>
  <c r="O445" i="2"/>
  <c r="V445" i="2" s="1"/>
  <c r="N445" i="2"/>
  <c r="AF445" i="2" s="1"/>
  <c r="AP444" i="2"/>
  <c r="AN444" i="2"/>
  <c r="AH444" i="2"/>
  <c r="AC444" i="2"/>
  <c r="AB444" i="2"/>
  <c r="V444" i="2"/>
  <c r="S444" i="2"/>
  <c r="P444" i="2"/>
  <c r="U444" i="2" s="1"/>
  <c r="O444" i="2"/>
  <c r="N444" i="2"/>
  <c r="AI444" i="2" s="1"/>
  <c r="AP443" i="2"/>
  <c r="AN443" i="2"/>
  <c r="AE443" i="2"/>
  <c r="AC443" i="2"/>
  <c r="AB443" i="2"/>
  <c r="V443" i="2"/>
  <c r="S443" i="2"/>
  <c r="P443" i="2"/>
  <c r="U443" i="2" s="1"/>
  <c r="O443" i="2"/>
  <c r="N443" i="2"/>
  <c r="AF443" i="2" s="1"/>
  <c r="AP442" i="2"/>
  <c r="AN442" i="2"/>
  <c r="AH442" i="2"/>
  <c r="AG442" i="2"/>
  <c r="AF442" i="2"/>
  <c r="AE442" i="2"/>
  <c r="AC442" i="2"/>
  <c r="AB442" i="2"/>
  <c r="V442" i="2"/>
  <c r="S442" i="2"/>
  <c r="P442" i="2"/>
  <c r="U442" i="2" s="1"/>
  <c r="O442" i="2"/>
  <c r="N442" i="2"/>
  <c r="AI442" i="2" s="1"/>
  <c r="AP441" i="2"/>
  <c r="AN441" i="2"/>
  <c r="AC441" i="2"/>
  <c r="AB441" i="2"/>
  <c r="V441" i="2"/>
  <c r="S441" i="2"/>
  <c r="P441" i="2"/>
  <c r="O441" i="2"/>
  <c r="N441" i="2"/>
  <c r="AI441" i="2" s="1"/>
  <c r="AP440" i="2"/>
  <c r="AN440" i="2"/>
  <c r="AC440" i="2"/>
  <c r="AB440" i="2"/>
  <c r="S440" i="2"/>
  <c r="O440" i="2"/>
  <c r="P440" i="2" s="1"/>
  <c r="U440" i="2" s="1"/>
  <c r="N440" i="2"/>
  <c r="AP439" i="2"/>
  <c r="AN439" i="2"/>
  <c r="AF439" i="2"/>
  <c r="AC439" i="2"/>
  <c r="AB439" i="2"/>
  <c r="S439" i="2"/>
  <c r="O439" i="2"/>
  <c r="N439" i="2"/>
  <c r="AI439" i="2" s="1"/>
  <c r="AP438" i="2"/>
  <c r="AN438" i="2"/>
  <c r="AI438" i="2"/>
  <c r="AH438" i="2"/>
  <c r="AC438" i="2"/>
  <c r="AB438" i="2"/>
  <c r="S438" i="2"/>
  <c r="O438" i="2"/>
  <c r="V438" i="2" s="1"/>
  <c r="N438" i="2"/>
  <c r="AG438" i="2" s="1"/>
  <c r="AP437" i="2"/>
  <c r="AN437" i="2"/>
  <c r="AC437" i="2"/>
  <c r="AI437" i="2" s="1"/>
  <c r="AB437" i="2"/>
  <c r="V437" i="2"/>
  <c r="S437" i="2"/>
  <c r="O437" i="2"/>
  <c r="P437" i="2" s="1"/>
  <c r="U437" i="2" s="1"/>
  <c r="N437" i="2"/>
  <c r="AP436" i="2"/>
  <c r="AN436" i="2"/>
  <c r="AG436" i="2"/>
  <c r="AC436" i="2"/>
  <c r="AB436" i="2"/>
  <c r="S436" i="2"/>
  <c r="O436" i="2"/>
  <c r="N436" i="2"/>
  <c r="AP435" i="2"/>
  <c r="AN435" i="2"/>
  <c r="AI435" i="2"/>
  <c r="AH435" i="2"/>
  <c r="AG435" i="2"/>
  <c r="AF435" i="2"/>
  <c r="AE435" i="2"/>
  <c r="AC435" i="2"/>
  <c r="AB435" i="2"/>
  <c r="V435" i="2"/>
  <c r="S435" i="2"/>
  <c r="P435" i="2"/>
  <c r="U435" i="2" s="1"/>
  <c r="O435" i="2"/>
  <c r="N435" i="2"/>
  <c r="AP434" i="2"/>
  <c r="AN434" i="2"/>
  <c r="AI434" i="2"/>
  <c r="AC434" i="2"/>
  <c r="AB434" i="2"/>
  <c r="V434" i="2"/>
  <c r="S434" i="2"/>
  <c r="P434" i="2"/>
  <c r="U434" i="2" s="1"/>
  <c r="O434" i="2"/>
  <c r="N434" i="2"/>
  <c r="AP433" i="2"/>
  <c r="AN433" i="2"/>
  <c r="AG433" i="2"/>
  <c r="AE433" i="2"/>
  <c r="AC433" i="2"/>
  <c r="AB433" i="2"/>
  <c r="S433" i="2"/>
  <c r="P433" i="2"/>
  <c r="U433" i="2" s="1"/>
  <c r="O433" i="2"/>
  <c r="V433" i="2" s="1"/>
  <c r="W433" i="2" s="1"/>
  <c r="N433" i="2"/>
  <c r="AI433" i="2" s="1"/>
  <c r="AP432" i="2"/>
  <c r="AN432" i="2"/>
  <c r="AG432" i="2"/>
  <c r="AC432" i="2"/>
  <c r="AB432" i="2"/>
  <c r="AE432" i="2" s="1"/>
  <c r="S432" i="2"/>
  <c r="P432" i="2"/>
  <c r="U432" i="2" s="1"/>
  <c r="O432" i="2"/>
  <c r="V432" i="2" s="1"/>
  <c r="N432" i="2"/>
  <c r="AI432" i="2" s="1"/>
  <c r="AP431" i="2"/>
  <c r="AN431" i="2"/>
  <c r="AC431" i="2"/>
  <c r="AB431" i="2"/>
  <c r="AI431" i="2" s="1"/>
  <c r="S431" i="2"/>
  <c r="O431" i="2"/>
  <c r="N431" i="2"/>
  <c r="AP430" i="2"/>
  <c r="AN430" i="2"/>
  <c r="AE430" i="2"/>
  <c r="AC430" i="2"/>
  <c r="AB430" i="2"/>
  <c r="S430" i="2"/>
  <c r="P430" i="2"/>
  <c r="U430" i="2" s="1"/>
  <c r="O430" i="2"/>
  <c r="V430" i="2" s="1"/>
  <c r="N430" i="2"/>
  <c r="AP429" i="2"/>
  <c r="AN429" i="2"/>
  <c r="AC429" i="2"/>
  <c r="AB429" i="2"/>
  <c r="S429" i="2"/>
  <c r="P429" i="2"/>
  <c r="O429" i="2"/>
  <c r="V429" i="2" s="1"/>
  <c r="N429" i="2"/>
  <c r="AP428" i="2"/>
  <c r="AN428" i="2"/>
  <c r="AC428" i="2"/>
  <c r="AB428" i="2"/>
  <c r="V428" i="2"/>
  <c r="S428" i="2"/>
  <c r="P428" i="2"/>
  <c r="O428" i="2"/>
  <c r="N428" i="2"/>
  <c r="AH428" i="2" s="1"/>
  <c r="AP427" i="2"/>
  <c r="AN427" i="2"/>
  <c r="AC427" i="2"/>
  <c r="AB427" i="2"/>
  <c r="V427" i="2"/>
  <c r="S427" i="2"/>
  <c r="P427" i="2"/>
  <c r="U427" i="2" s="1"/>
  <c r="O427" i="2"/>
  <c r="N427" i="2"/>
  <c r="AG427" i="2" s="1"/>
  <c r="AP426" i="2"/>
  <c r="AN426" i="2"/>
  <c r="AH426" i="2"/>
  <c r="AG426" i="2"/>
  <c r="AF426" i="2"/>
  <c r="AE426" i="2"/>
  <c r="AC426" i="2"/>
  <c r="AB426" i="2"/>
  <c r="V426" i="2"/>
  <c r="S426" i="2"/>
  <c r="P426" i="2"/>
  <c r="U426" i="2" s="1"/>
  <c r="O426" i="2"/>
  <c r="N426" i="2"/>
  <c r="AI426" i="2" s="1"/>
  <c r="AP425" i="2"/>
  <c r="AN425" i="2"/>
  <c r="AC425" i="2"/>
  <c r="AE425" i="2" s="1"/>
  <c r="AB425" i="2"/>
  <c r="V425" i="2"/>
  <c r="S425" i="2"/>
  <c r="P425" i="2"/>
  <c r="U425" i="2" s="1"/>
  <c r="O425" i="2"/>
  <c r="N425" i="2"/>
  <c r="AP424" i="2"/>
  <c r="AN424" i="2"/>
  <c r="AC424" i="2"/>
  <c r="AB424" i="2"/>
  <c r="S424" i="2"/>
  <c r="P424" i="2"/>
  <c r="U424" i="2" s="1"/>
  <c r="O424" i="2"/>
  <c r="N424" i="2"/>
  <c r="AP423" i="2"/>
  <c r="AN423" i="2"/>
  <c r="AC423" i="2"/>
  <c r="AB423" i="2"/>
  <c r="S423" i="2"/>
  <c r="O423" i="2"/>
  <c r="N423" i="2"/>
  <c r="AP422" i="2"/>
  <c r="AN422" i="2"/>
  <c r="AC422" i="2"/>
  <c r="AH422" i="2" s="1"/>
  <c r="AB422" i="2"/>
  <c r="S422" i="2"/>
  <c r="O422" i="2"/>
  <c r="N422" i="2"/>
  <c r="AP421" i="2"/>
  <c r="AN421" i="2"/>
  <c r="AH421" i="2"/>
  <c r="AC421" i="2"/>
  <c r="AB421" i="2"/>
  <c r="S421" i="2"/>
  <c r="O421" i="2"/>
  <c r="P421" i="2" s="1"/>
  <c r="U421" i="2" s="1"/>
  <c r="N421" i="2"/>
  <c r="AP420" i="2"/>
  <c r="AN420" i="2"/>
  <c r="AG420" i="2"/>
  <c r="AC420" i="2"/>
  <c r="AB420" i="2"/>
  <c r="S420" i="2"/>
  <c r="O420" i="2"/>
  <c r="AH420" i="2" s="1"/>
  <c r="N420" i="2"/>
  <c r="AP419" i="2"/>
  <c r="AN419" i="2"/>
  <c r="AI419" i="2"/>
  <c r="AH419" i="2"/>
  <c r="AG419" i="2"/>
  <c r="AF419" i="2"/>
  <c r="AE419" i="2"/>
  <c r="AC419" i="2"/>
  <c r="AB419" i="2"/>
  <c r="V419" i="2"/>
  <c r="S419" i="2"/>
  <c r="P419" i="2"/>
  <c r="U419" i="2" s="1"/>
  <c r="O419" i="2"/>
  <c r="N419" i="2"/>
  <c r="AP418" i="2"/>
  <c r="AN418" i="2"/>
  <c r="AI418" i="2"/>
  <c r="AC418" i="2"/>
  <c r="AB418" i="2"/>
  <c r="V418" i="2"/>
  <c r="S418" i="2"/>
  <c r="P418" i="2"/>
  <c r="U418" i="2" s="1"/>
  <c r="O418" i="2"/>
  <c r="N418" i="2"/>
  <c r="AP417" i="2"/>
  <c r="AN417" i="2"/>
  <c r="AC417" i="2"/>
  <c r="AB417" i="2"/>
  <c r="S417" i="2"/>
  <c r="P417" i="2"/>
  <c r="U417" i="2" s="1"/>
  <c r="O417" i="2"/>
  <c r="N417" i="2"/>
  <c r="AP416" i="2"/>
  <c r="AN416" i="2"/>
  <c r="AC416" i="2"/>
  <c r="AB416" i="2"/>
  <c r="S416" i="2"/>
  <c r="P416" i="2"/>
  <c r="U416" i="2" s="1"/>
  <c r="O416" i="2"/>
  <c r="N416" i="2"/>
  <c r="AP415" i="2"/>
  <c r="AN415" i="2"/>
  <c r="AH415" i="2"/>
  <c r="AC415" i="2"/>
  <c r="AB415" i="2"/>
  <c r="AI415" i="2" s="1"/>
  <c r="S415" i="2"/>
  <c r="P415" i="2"/>
  <c r="U415" i="2" s="1"/>
  <c r="O415" i="2"/>
  <c r="N415" i="2"/>
  <c r="AE415" i="2" s="1"/>
  <c r="AP414" i="2"/>
  <c r="AN414" i="2"/>
  <c r="AG414" i="2"/>
  <c r="AC414" i="2"/>
  <c r="AB414" i="2"/>
  <c r="S414" i="2"/>
  <c r="O414" i="2"/>
  <c r="V414" i="2" s="1"/>
  <c r="N414" i="2"/>
  <c r="AI414" i="2" s="1"/>
  <c r="AP413" i="2"/>
  <c r="AN413" i="2"/>
  <c r="AH413" i="2"/>
  <c r="AG413" i="2"/>
  <c r="AC413" i="2"/>
  <c r="AB413" i="2"/>
  <c r="S413" i="2"/>
  <c r="P413" i="2"/>
  <c r="U413" i="2" s="1"/>
  <c r="O413" i="2"/>
  <c r="V413" i="2" s="1"/>
  <c r="N413" i="2"/>
  <c r="AF413" i="2" s="1"/>
  <c r="AP412" i="2"/>
  <c r="AN412" i="2"/>
  <c r="AC412" i="2"/>
  <c r="AB412" i="2"/>
  <c r="AH412" i="2" s="1"/>
  <c r="V412" i="2"/>
  <c r="S412" i="2"/>
  <c r="O412" i="2"/>
  <c r="P412" i="2" s="1"/>
  <c r="U412" i="2" s="1"/>
  <c r="AO412" i="2" s="1"/>
  <c r="N412" i="2"/>
  <c r="AI412" i="2" s="1"/>
  <c r="AP411" i="2"/>
  <c r="AN411" i="2"/>
  <c r="AF411" i="2"/>
  <c r="AE411" i="2"/>
  <c r="AC411" i="2"/>
  <c r="AB411" i="2"/>
  <c r="S411" i="2"/>
  <c r="O411" i="2"/>
  <c r="P411" i="2" s="1"/>
  <c r="U411" i="2" s="1"/>
  <c r="AO411" i="2" s="1"/>
  <c r="N411" i="2"/>
  <c r="V411" i="2" s="1"/>
  <c r="AP410" i="2"/>
  <c r="AN410" i="2"/>
  <c r="AI410" i="2"/>
  <c r="AH410" i="2"/>
  <c r="AG410" i="2"/>
  <c r="AF410" i="2"/>
  <c r="AE410" i="2"/>
  <c r="AC410" i="2"/>
  <c r="AB410" i="2"/>
  <c r="V410" i="2"/>
  <c r="S410" i="2"/>
  <c r="P410" i="2"/>
  <c r="U410" i="2" s="1"/>
  <c r="O410" i="2"/>
  <c r="N410" i="2"/>
  <c r="AP409" i="2"/>
  <c r="AN409" i="2"/>
  <c r="AC409" i="2"/>
  <c r="AB409" i="2"/>
  <c r="V409" i="2"/>
  <c r="S409" i="2"/>
  <c r="P409" i="2"/>
  <c r="O409" i="2"/>
  <c r="N409" i="2"/>
  <c r="AP408" i="2"/>
  <c r="AN408" i="2"/>
  <c r="AC408" i="2"/>
  <c r="AB408" i="2"/>
  <c r="S408" i="2"/>
  <c r="O408" i="2"/>
  <c r="N408" i="2"/>
  <c r="AP407" i="2"/>
  <c r="AN407" i="2"/>
  <c r="AF407" i="2"/>
  <c r="AC407" i="2"/>
  <c r="AB407" i="2"/>
  <c r="S407" i="2"/>
  <c r="O407" i="2"/>
  <c r="V407" i="2" s="1"/>
  <c r="N407" i="2"/>
  <c r="AI407" i="2" s="1"/>
  <c r="AP406" i="2"/>
  <c r="AN406" i="2"/>
  <c r="AI406" i="2"/>
  <c r="AH406" i="2"/>
  <c r="AC406" i="2"/>
  <c r="AB406" i="2"/>
  <c r="S406" i="2"/>
  <c r="O406" i="2"/>
  <c r="AE406" i="2" s="1"/>
  <c r="N406" i="2"/>
  <c r="AG406" i="2" s="1"/>
  <c r="AP405" i="2"/>
  <c r="AN405" i="2"/>
  <c r="AC405" i="2"/>
  <c r="AB405" i="2"/>
  <c r="V405" i="2"/>
  <c r="S405" i="2"/>
  <c r="O405" i="2"/>
  <c r="N405" i="2"/>
  <c r="AP404" i="2"/>
  <c r="AN404" i="2"/>
  <c r="AG404" i="2"/>
  <c r="AF404" i="2"/>
  <c r="AC404" i="2"/>
  <c r="AB404" i="2"/>
  <c r="S404" i="2"/>
  <c r="O404" i="2"/>
  <c r="V404" i="2" s="1"/>
  <c r="N404" i="2"/>
  <c r="AE404" i="2" s="1"/>
  <c r="AP403" i="2"/>
  <c r="AN403" i="2"/>
  <c r="AI403" i="2"/>
  <c r="AG403" i="2"/>
  <c r="AC403" i="2"/>
  <c r="AB403" i="2"/>
  <c r="S403" i="2"/>
  <c r="O403" i="2"/>
  <c r="P403" i="2" s="1"/>
  <c r="U403" i="2" s="1"/>
  <c r="N403" i="2"/>
  <c r="AH403" i="2" s="1"/>
  <c r="AP402" i="2"/>
  <c r="AN402" i="2"/>
  <c r="AC402" i="2"/>
  <c r="AB402" i="2"/>
  <c r="S402" i="2"/>
  <c r="O402" i="2"/>
  <c r="P402" i="2" s="1"/>
  <c r="U402" i="2" s="1"/>
  <c r="N402" i="2"/>
  <c r="V402" i="2" s="1"/>
  <c r="AP401" i="2"/>
  <c r="AN401" i="2"/>
  <c r="AG401" i="2"/>
  <c r="AC401" i="2"/>
  <c r="AB401" i="2"/>
  <c r="S401" i="2"/>
  <c r="P401" i="2"/>
  <c r="U401" i="2" s="1"/>
  <c r="O401" i="2"/>
  <c r="N401" i="2"/>
  <c r="AP400" i="2"/>
  <c r="AN400" i="2"/>
  <c r="AC400" i="2"/>
  <c r="AB400" i="2"/>
  <c r="V400" i="2"/>
  <c r="S400" i="2"/>
  <c r="P400" i="2"/>
  <c r="O400" i="2"/>
  <c r="N400" i="2"/>
  <c r="AP399" i="2"/>
  <c r="AN399" i="2"/>
  <c r="AE399" i="2"/>
  <c r="AC399" i="2"/>
  <c r="AB399" i="2"/>
  <c r="S399" i="2"/>
  <c r="P399" i="2"/>
  <c r="U399" i="2" s="1"/>
  <c r="O399" i="2"/>
  <c r="N399" i="2"/>
  <c r="AI399" i="2" s="1"/>
  <c r="AP398" i="2"/>
  <c r="AN398" i="2"/>
  <c r="AE398" i="2"/>
  <c r="AC398" i="2"/>
  <c r="AB398" i="2"/>
  <c r="S398" i="2"/>
  <c r="P398" i="2"/>
  <c r="U398" i="2" s="1"/>
  <c r="O398" i="2"/>
  <c r="V398" i="2" s="1"/>
  <c r="N398" i="2"/>
  <c r="AI398" i="2" s="1"/>
  <c r="AP397" i="2"/>
  <c r="AN397" i="2"/>
  <c r="AH397" i="2"/>
  <c r="AC397" i="2"/>
  <c r="AB397" i="2"/>
  <c r="AG397" i="2" s="1"/>
  <c r="S397" i="2"/>
  <c r="P397" i="2"/>
  <c r="O397" i="2"/>
  <c r="V397" i="2" s="1"/>
  <c r="N397" i="2"/>
  <c r="AF397" i="2" s="1"/>
  <c r="AP396" i="2"/>
  <c r="AN396" i="2"/>
  <c r="AC396" i="2"/>
  <c r="AB396" i="2"/>
  <c r="V396" i="2"/>
  <c r="S396" i="2"/>
  <c r="O396" i="2"/>
  <c r="P396" i="2" s="1"/>
  <c r="U396" i="2" s="1"/>
  <c r="AO396" i="2" s="1"/>
  <c r="N396" i="2"/>
  <c r="AP395" i="2"/>
  <c r="AN395" i="2"/>
  <c r="AF395" i="2"/>
  <c r="AE395" i="2"/>
  <c r="AC395" i="2"/>
  <c r="AB395" i="2"/>
  <c r="S395" i="2"/>
  <c r="O395" i="2"/>
  <c r="P395" i="2" s="1"/>
  <c r="U395" i="2" s="1"/>
  <c r="AO395" i="2" s="1"/>
  <c r="N395" i="2"/>
  <c r="V395" i="2" s="1"/>
  <c r="AP394" i="2"/>
  <c r="AN394" i="2"/>
  <c r="AI394" i="2"/>
  <c r="AH394" i="2"/>
  <c r="AG394" i="2"/>
  <c r="AF394" i="2"/>
  <c r="AE394" i="2"/>
  <c r="AC394" i="2"/>
  <c r="AB394" i="2"/>
  <c r="V394" i="2"/>
  <c r="S394" i="2"/>
  <c r="P394" i="2"/>
  <c r="U394" i="2" s="1"/>
  <c r="AO394" i="2" s="1"/>
  <c r="O394" i="2"/>
  <c r="N394" i="2"/>
  <c r="AP393" i="2"/>
  <c r="AN393" i="2"/>
  <c r="AC393" i="2"/>
  <c r="AB393" i="2"/>
  <c r="V393" i="2"/>
  <c r="S393" i="2"/>
  <c r="P393" i="2"/>
  <c r="O393" i="2"/>
  <c r="N393" i="2"/>
  <c r="AP392" i="2"/>
  <c r="AN392" i="2"/>
  <c r="AC392" i="2"/>
  <c r="AB392" i="2"/>
  <c r="S392" i="2"/>
  <c r="O392" i="2"/>
  <c r="N392" i="2"/>
  <c r="AP391" i="2"/>
  <c r="AN391" i="2"/>
  <c r="AF391" i="2"/>
  <c r="AC391" i="2"/>
  <c r="AB391" i="2"/>
  <c r="S391" i="2"/>
  <c r="O391" i="2"/>
  <c r="V391" i="2" s="1"/>
  <c r="N391" i="2"/>
  <c r="AI391" i="2" s="1"/>
  <c r="AP390" i="2"/>
  <c r="AN390" i="2"/>
  <c r="AI390" i="2"/>
  <c r="AH390" i="2"/>
  <c r="AC390" i="2"/>
  <c r="AB390" i="2"/>
  <c r="S390" i="2"/>
  <c r="O390" i="2"/>
  <c r="N390" i="2"/>
  <c r="AP389" i="2"/>
  <c r="AN389" i="2"/>
  <c r="AC389" i="2"/>
  <c r="AB389" i="2"/>
  <c r="S389" i="2"/>
  <c r="O389" i="2"/>
  <c r="N389" i="2"/>
  <c r="AH389" i="2" s="1"/>
  <c r="AP388" i="2"/>
  <c r="AN388" i="2"/>
  <c r="AG388" i="2"/>
  <c r="AF388" i="2"/>
  <c r="AC388" i="2"/>
  <c r="AB388" i="2"/>
  <c r="S388" i="2"/>
  <c r="O388" i="2"/>
  <c r="V388" i="2" s="1"/>
  <c r="N388" i="2"/>
  <c r="AE388" i="2" s="1"/>
  <c r="AP387" i="2"/>
  <c r="AN387" i="2"/>
  <c r="AI387" i="2"/>
  <c r="AG387" i="2"/>
  <c r="AC387" i="2"/>
  <c r="AB387" i="2"/>
  <c r="S387" i="2"/>
  <c r="O387" i="2"/>
  <c r="P387" i="2" s="1"/>
  <c r="U387" i="2" s="1"/>
  <c r="AO387" i="2" s="1"/>
  <c r="N387" i="2"/>
  <c r="AH387" i="2" s="1"/>
  <c r="AP386" i="2"/>
  <c r="AN386" i="2"/>
  <c r="AC386" i="2"/>
  <c r="AB386" i="2"/>
  <c r="S386" i="2"/>
  <c r="O386" i="2"/>
  <c r="P386" i="2" s="1"/>
  <c r="U386" i="2" s="1"/>
  <c r="AO386" i="2" s="1"/>
  <c r="N386" i="2"/>
  <c r="V386" i="2" s="1"/>
  <c r="AP385" i="2"/>
  <c r="AN385" i="2"/>
  <c r="AC385" i="2"/>
  <c r="AB385" i="2"/>
  <c r="S385" i="2"/>
  <c r="O385" i="2"/>
  <c r="N385" i="2"/>
  <c r="AI385" i="2" s="1"/>
  <c r="AP384" i="2"/>
  <c r="AN384" i="2"/>
  <c r="AC384" i="2"/>
  <c r="AB384" i="2"/>
  <c r="V384" i="2"/>
  <c r="S384" i="2"/>
  <c r="W384" i="2" s="1"/>
  <c r="P384" i="2"/>
  <c r="U384" i="2" s="1"/>
  <c r="O384" i="2"/>
  <c r="N384" i="2"/>
  <c r="AI384" i="2" s="1"/>
  <c r="AP383" i="2"/>
  <c r="AN383" i="2"/>
  <c r="AC383" i="2"/>
  <c r="AB383" i="2"/>
  <c r="S383" i="2"/>
  <c r="P383" i="2"/>
  <c r="U383" i="2" s="1"/>
  <c r="AO383" i="2" s="1"/>
  <c r="O383" i="2"/>
  <c r="N383" i="2"/>
  <c r="AP382" i="2"/>
  <c r="AN382" i="2"/>
  <c r="AE382" i="2"/>
  <c r="AC382" i="2"/>
  <c r="AB382" i="2"/>
  <c r="S382" i="2"/>
  <c r="P382" i="2"/>
  <c r="U382" i="2" s="1"/>
  <c r="AO382" i="2" s="1"/>
  <c r="O382" i="2"/>
  <c r="V382" i="2" s="1"/>
  <c r="N382" i="2"/>
  <c r="AI382" i="2" s="1"/>
  <c r="AP381" i="2"/>
  <c r="AN381" i="2"/>
  <c r="AH381" i="2"/>
  <c r="AG381" i="2"/>
  <c r="AC381" i="2"/>
  <c r="AB381" i="2"/>
  <c r="S381" i="2"/>
  <c r="P381" i="2"/>
  <c r="U381" i="2" s="1"/>
  <c r="O381" i="2"/>
  <c r="V381" i="2" s="1"/>
  <c r="N381" i="2"/>
  <c r="AF381" i="2" s="1"/>
  <c r="AP380" i="2"/>
  <c r="AN380" i="2"/>
  <c r="AC380" i="2"/>
  <c r="AB380" i="2"/>
  <c r="S380" i="2"/>
  <c r="O380" i="2"/>
  <c r="P380" i="2" s="1"/>
  <c r="U380" i="2" s="1"/>
  <c r="N380" i="2"/>
  <c r="V380" i="2" s="1"/>
  <c r="AP379" i="2"/>
  <c r="AN379" i="2"/>
  <c r="AF379" i="2"/>
  <c r="AE379" i="2"/>
  <c r="AC379" i="2"/>
  <c r="AB379" i="2"/>
  <c r="S379" i="2"/>
  <c r="O379" i="2"/>
  <c r="P379" i="2" s="1"/>
  <c r="U379" i="2" s="1"/>
  <c r="AO379" i="2" s="1"/>
  <c r="N379" i="2"/>
  <c r="V379" i="2" s="1"/>
  <c r="AP378" i="2"/>
  <c r="AN378" i="2"/>
  <c r="AI378" i="2"/>
  <c r="AH378" i="2"/>
  <c r="AG378" i="2"/>
  <c r="AF378" i="2"/>
  <c r="AE378" i="2"/>
  <c r="AC378" i="2"/>
  <c r="AB378" i="2"/>
  <c r="V378" i="2"/>
  <c r="S378" i="2"/>
  <c r="P378" i="2"/>
  <c r="U378" i="2" s="1"/>
  <c r="AO378" i="2" s="1"/>
  <c r="O378" i="2"/>
  <c r="N378" i="2"/>
  <c r="AP377" i="2"/>
  <c r="AN377" i="2"/>
  <c r="AC377" i="2"/>
  <c r="AB377" i="2"/>
  <c r="V377" i="2"/>
  <c r="S377" i="2"/>
  <c r="P377" i="2"/>
  <c r="O377" i="2"/>
  <c r="N377" i="2"/>
  <c r="AP376" i="2"/>
  <c r="AN376" i="2"/>
  <c r="AC376" i="2"/>
  <c r="AB376" i="2"/>
  <c r="S376" i="2"/>
  <c r="O376" i="2"/>
  <c r="N376" i="2"/>
  <c r="AP375" i="2"/>
  <c r="AN375" i="2"/>
  <c r="AF375" i="2"/>
  <c r="AC375" i="2"/>
  <c r="AB375" i="2"/>
  <c r="S375" i="2"/>
  <c r="O375" i="2"/>
  <c r="V375" i="2" s="1"/>
  <c r="N375" i="2"/>
  <c r="AI375" i="2" s="1"/>
  <c r="AP374" i="2"/>
  <c r="AN374" i="2"/>
  <c r="AH374" i="2"/>
  <c r="AC374" i="2"/>
  <c r="AI374" i="2" s="1"/>
  <c r="AB374" i="2"/>
  <c r="S374" i="2"/>
  <c r="O374" i="2"/>
  <c r="N374" i="2"/>
  <c r="AP373" i="2"/>
  <c r="AN373" i="2"/>
  <c r="AC373" i="2"/>
  <c r="AB373" i="2"/>
  <c r="V373" i="2"/>
  <c r="S373" i="2"/>
  <c r="O373" i="2"/>
  <c r="N373" i="2"/>
  <c r="AH373" i="2" s="1"/>
  <c r="AP372" i="2"/>
  <c r="AN372" i="2"/>
  <c r="AG372" i="2"/>
  <c r="AF372" i="2"/>
  <c r="AC372" i="2"/>
  <c r="AB372" i="2"/>
  <c r="S372" i="2"/>
  <c r="O372" i="2"/>
  <c r="V372" i="2" s="1"/>
  <c r="N372" i="2"/>
  <c r="AE372" i="2" s="1"/>
  <c r="AP371" i="2"/>
  <c r="AN371" i="2"/>
  <c r="AI371" i="2"/>
  <c r="AG371" i="2"/>
  <c r="AC371" i="2"/>
  <c r="AB371" i="2"/>
  <c r="S371" i="2"/>
  <c r="P371" i="2"/>
  <c r="U371" i="2" s="1"/>
  <c r="AO371" i="2" s="1"/>
  <c r="O371" i="2"/>
  <c r="N371" i="2"/>
  <c r="AH371" i="2" s="1"/>
  <c r="AP370" i="2"/>
  <c r="AN370" i="2"/>
  <c r="AC370" i="2"/>
  <c r="AB370" i="2"/>
  <c r="S370" i="2"/>
  <c r="P370" i="2"/>
  <c r="U370" i="2" s="1"/>
  <c r="AO370" i="2" s="1"/>
  <c r="O370" i="2"/>
  <c r="N370" i="2"/>
  <c r="V370" i="2" s="1"/>
  <c r="AP369" i="2"/>
  <c r="AN369" i="2"/>
  <c r="AC369" i="2"/>
  <c r="AB369" i="2"/>
  <c r="S369" i="2"/>
  <c r="O369" i="2"/>
  <c r="N369" i="2"/>
  <c r="AP368" i="2"/>
  <c r="AN368" i="2"/>
  <c r="AC368" i="2"/>
  <c r="AB368" i="2"/>
  <c r="V368" i="2"/>
  <c r="S368" i="2"/>
  <c r="P368" i="2"/>
  <c r="O368" i="2"/>
  <c r="N368" i="2"/>
  <c r="AP367" i="2"/>
  <c r="AN367" i="2"/>
  <c r="AI367" i="2"/>
  <c r="AC367" i="2"/>
  <c r="AB367" i="2"/>
  <c r="S367" i="2"/>
  <c r="P367" i="2"/>
  <c r="U367" i="2" s="1"/>
  <c r="AO367" i="2" s="1"/>
  <c r="O367" i="2"/>
  <c r="N367" i="2"/>
  <c r="AE367" i="2" s="1"/>
  <c r="AP366" i="2"/>
  <c r="AN366" i="2"/>
  <c r="AE366" i="2"/>
  <c r="AC366" i="2"/>
  <c r="AB366" i="2"/>
  <c r="S366" i="2"/>
  <c r="P366" i="2"/>
  <c r="U366" i="2" s="1"/>
  <c r="AO366" i="2" s="1"/>
  <c r="O366" i="2"/>
  <c r="V366" i="2" s="1"/>
  <c r="N366" i="2"/>
  <c r="AI366" i="2" s="1"/>
  <c r="AP365" i="2"/>
  <c r="AN365" i="2"/>
  <c r="AH365" i="2"/>
  <c r="AG365" i="2"/>
  <c r="AC365" i="2"/>
  <c r="AB365" i="2"/>
  <c r="S365" i="2"/>
  <c r="P365" i="2"/>
  <c r="U365" i="2" s="1"/>
  <c r="O365" i="2"/>
  <c r="V365" i="2" s="1"/>
  <c r="N365" i="2"/>
  <c r="AP364" i="2"/>
  <c r="AN364" i="2"/>
  <c r="AC364" i="2"/>
  <c r="AB364" i="2"/>
  <c r="V364" i="2"/>
  <c r="S364" i="2"/>
  <c r="O364" i="2"/>
  <c r="P364" i="2" s="1"/>
  <c r="U364" i="2" s="1"/>
  <c r="N364" i="2"/>
  <c r="AP363" i="2"/>
  <c r="AN363" i="2"/>
  <c r="AF363" i="2"/>
  <c r="AE363" i="2"/>
  <c r="AC363" i="2"/>
  <c r="AB363" i="2"/>
  <c r="S363" i="2"/>
  <c r="O363" i="2"/>
  <c r="P363" i="2" s="1"/>
  <c r="U363" i="2" s="1"/>
  <c r="N363" i="2"/>
  <c r="V363" i="2" s="1"/>
  <c r="AP362" i="2"/>
  <c r="AN362" i="2"/>
  <c r="AI362" i="2"/>
  <c r="AH362" i="2"/>
  <c r="AG362" i="2"/>
  <c r="AF362" i="2"/>
  <c r="AE362" i="2"/>
  <c r="AC362" i="2"/>
  <c r="AB362" i="2"/>
  <c r="V362" i="2"/>
  <c r="S362" i="2"/>
  <c r="P362" i="2"/>
  <c r="U362" i="2" s="1"/>
  <c r="AO362" i="2" s="1"/>
  <c r="O362" i="2"/>
  <c r="N362" i="2"/>
  <c r="AP361" i="2"/>
  <c r="AN361" i="2"/>
  <c r="AC361" i="2"/>
  <c r="AB361" i="2"/>
  <c r="V361" i="2"/>
  <c r="S361" i="2"/>
  <c r="P361" i="2"/>
  <c r="O361" i="2"/>
  <c r="N361" i="2"/>
  <c r="AP360" i="2"/>
  <c r="AN360" i="2"/>
  <c r="AC360" i="2"/>
  <c r="AB360" i="2"/>
  <c r="S360" i="2"/>
  <c r="O360" i="2"/>
  <c r="N360" i="2"/>
  <c r="AP359" i="2"/>
  <c r="AN359" i="2"/>
  <c r="AF359" i="2"/>
  <c r="AC359" i="2"/>
  <c r="AB359" i="2"/>
  <c r="S359" i="2"/>
  <c r="O359" i="2"/>
  <c r="V359" i="2" s="1"/>
  <c r="N359" i="2"/>
  <c r="AI359" i="2" s="1"/>
  <c r="AP358" i="2"/>
  <c r="AN358" i="2"/>
  <c r="AC358" i="2"/>
  <c r="AB358" i="2"/>
  <c r="S358" i="2"/>
  <c r="O358" i="2"/>
  <c r="N358" i="2"/>
  <c r="AP357" i="2"/>
  <c r="AN357" i="2"/>
  <c r="AC357" i="2"/>
  <c r="AB357" i="2"/>
  <c r="S357" i="2"/>
  <c r="O357" i="2"/>
  <c r="N357" i="2"/>
  <c r="AP356" i="2"/>
  <c r="AN356" i="2"/>
  <c r="AG356" i="2"/>
  <c r="AF356" i="2"/>
  <c r="AC356" i="2"/>
  <c r="AB356" i="2"/>
  <c r="S356" i="2"/>
  <c r="O356" i="2"/>
  <c r="V356" i="2" s="1"/>
  <c r="N356" i="2"/>
  <c r="AE356" i="2" s="1"/>
  <c r="AP355" i="2"/>
  <c r="AN355" i="2"/>
  <c r="AI355" i="2"/>
  <c r="AG355" i="2"/>
  <c r="AC355" i="2"/>
  <c r="AB355" i="2"/>
  <c r="S355" i="2"/>
  <c r="O355" i="2"/>
  <c r="P355" i="2" s="1"/>
  <c r="U355" i="2" s="1"/>
  <c r="AO355" i="2" s="1"/>
  <c r="N355" i="2"/>
  <c r="AH355" i="2" s="1"/>
  <c r="AP354" i="2"/>
  <c r="AN354" i="2"/>
  <c r="AC354" i="2"/>
  <c r="AB354" i="2"/>
  <c r="S354" i="2"/>
  <c r="P354" i="2"/>
  <c r="U354" i="2" s="1"/>
  <c r="AO354" i="2" s="1"/>
  <c r="O354" i="2"/>
  <c r="N354" i="2"/>
  <c r="V354" i="2" s="1"/>
  <c r="AP353" i="2"/>
  <c r="AN353" i="2"/>
  <c r="AG353" i="2"/>
  <c r="AC353" i="2"/>
  <c r="AB353" i="2"/>
  <c r="S353" i="2"/>
  <c r="P353" i="2"/>
  <c r="U353" i="2" s="1"/>
  <c r="AO353" i="2" s="1"/>
  <c r="O353" i="2"/>
  <c r="N353" i="2"/>
  <c r="AI353" i="2" s="1"/>
  <c r="AP352" i="2"/>
  <c r="AN352" i="2"/>
  <c r="AC352" i="2"/>
  <c r="AB352" i="2"/>
  <c r="V352" i="2"/>
  <c r="S352" i="2"/>
  <c r="P352" i="2"/>
  <c r="O352" i="2"/>
  <c r="N352" i="2"/>
  <c r="AP351" i="2"/>
  <c r="AN351" i="2"/>
  <c r="AI351" i="2"/>
  <c r="AC351" i="2"/>
  <c r="AB351" i="2"/>
  <c r="S351" i="2"/>
  <c r="P351" i="2"/>
  <c r="U351" i="2" s="1"/>
  <c r="O351" i="2"/>
  <c r="N351" i="2"/>
  <c r="AE351" i="2" s="1"/>
  <c r="AP350" i="2"/>
  <c r="AN350" i="2"/>
  <c r="AE350" i="2"/>
  <c r="AC350" i="2"/>
  <c r="AB350" i="2"/>
  <c r="S350" i="2"/>
  <c r="P350" i="2"/>
  <c r="U350" i="2" s="1"/>
  <c r="AO350" i="2" s="1"/>
  <c r="O350" i="2"/>
  <c r="V350" i="2" s="1"/>
  <c r="N350" i="2"/>
  <c r="AI350" i="2" s="1"/>
  <c r="AP349" i="2"/>
  <c r="AN349" i="2"/>
  <c r="AG349" i="2"/>
  <c r="AC349" i="2"/>
  <c r="AB349" i="2"/>
  <c r="AH349" i="2" s="1"/>
  <c r="S349" i="2"/>
  <c r="P349" i="2"/>
  <c r="U349" i="2" s="1"/>
  <c r="AO349" i="2" s="1"/>
  <c r="O349" i="2"/>
  <c r="V349" i="2" s="1"/>
  <c r="N349" i="2"/>
  <c r="AP348" i="2"/>
  <c r="AN348" i="2"/>
  <c r="AC348" i="2"/>
  <c r="AB348" i="2"/>
  <c r="V348" i="2"/>
  <c r="S348" i="2"/>
  <c r="O348" i="2"/>
  <c r="P348" i="2" s="1"/>
  <c r="U348" i="2" s="1"/>
  <c r="AO348" i="2" s="1"/>
  <c r="N348" i="2"/>
  <c r="AP347" i="2"/>
  <c r="AN347" i="2"/>
  <c r="AC347" i="2"/>
  <c r="AB347" i="2"/>
  <c r="S347" i="2"/>
  <c r="O347" i="2"/>
  <c r="P347" i="2" s="1"/>
  <c r="U347" i="2" s="1"/>
  <c r="AO347" i="2" s="1"/>
  <c r="N347" i="2"/>
  <c r="AP346" i="2"/>
  <c r="AN346" i="2"/>
  <c r="AI346" i="2"/>
  <c r="AH346" i="2"/>
  <c r="AG346" i="2"/>
  <c r="AF346" i="2"/>
  <c r="AC346" i="2"/>
  <c r="AB346" i="2"/>
  <c r="V346" i="2"/>
  <c r="S346" i="2"/>
  <c r="P346" i="2"/>
  <c r="U346" i="2" s="1"/>
  <c r="AO346" i="2" s="1"/>
  <c r="O346" i="2"/>
  <c r="N346" i="2"/>
  <c r="AE346" i="2" s="1"/>
  <c r="AP345" i="2"/>
  <c r="AN345" i="2"/>
  <c r="AC345" i="2"/>
  <c r="AH345" i="2" s="1"/>
  <c r="AB345" i="2"/>
  <c r="V345" i="2"/>
  <c r="S345" i="2"/>
  <c r="O345" i="2"/>
  <c r="P345" i="2" s="1"/>
  <c r="U345" i="2" s="1"/>
  <c r="AO345" i="2" s="1"/>
  <c r="N345" i="2"/>
  <c r="AP344" i="2"/>
  <c r="AN344" i="2"/>
  <c r="AF344" i="2"/>
  <c r="AC344" i="2"/>
  <c r="AB344" i="2"/>
  <c r="S344" i="2"/>
  <c r="O344" i="2"/>
  <c r="P344" i="2" s="1"/>
  <c r="U344" i="2" s="1"/>
  <c r="AO344" i="2" s="1"/>
  <c r="N344" i="2"/>
  <c r="AP343" i="2"/>
  <c r="AN343" i="2"/>
  <c r="AF343" i="2"/>
  <c r="AC343" i="2"/>
  <c r="AB343" i="2"/>
  <c r="S343" i="2"/>
  <c r="O343" i="2"/>
  <c r="V343" i="2" s="1"/>
  <c r="N343" i="2"/>
  <c r="AI343" i="2" s="1"/>
  <c r="AP342" i="2"/>
  <c r="AN342" i="2"/>
  <c r="AI342" i="2"/>
  <c r="AH342" i="2"/>
  <c r="AC342" i="2"/>
  <c r="AB342" i="2"/>
  <c r="AG342" i="2" s="1"/>
  <c r="S342" i="2"/>
  <c r="O342" i="2"/>
  <c r="N342" i="2"/>
  <c r="AF342" i="2" s="1"/>
  <c r="AP341" i="2"/>
  <c r="AN341" i="2"/>
  <c r="AC341" i="2"/>
  <c r="AB341" i="2"/>
  <c r="S341" i="2"/>
  <c r="O341" i="2"/>
  <c r="N341" i="2"/>
  <c r="AP340" i="2"/>
  <c r="AN340" i="2"/>
  <c r="AC340" i="2"/>
  <c r="AB340" i="2"/>
  <c r="S340" i="2"/>
  <c r="O340" i="2"/>
  <c r="N340" i="2"/>
  <c r="AP339" i="2"/>
  <c r="AN339" i="2"/>
  <c r="AI339" i="2"/>
  <c r="AG339" i="2"/>
  <c r="AC339" i="2"/>
  <c r="AB339" i="2"/>
  <c r="S339" i="2"/>
  <c r="P339" i="2"/>
  <c r="U339" i="2" s="1"/>
  <c r="AO339" i="2" s="1"/>
  <c r="O339" i="2"/>
  <c r="V339" i="2" s="1"/>
  <c r="N339" i="2"/>
  <c r="AH339" i="2" s="1"/>
  <c r="AP338" i="2"/>
  <c r="AN338" i="2"/>
  <c r="AI338" i="2"/>
  <c r="AE338" i="2"/>
  <c r="AC338" i="2"/>
  <c r="AG338" i="2" s="1"/>
  <c r="AB338" i="2"/>
  <c r="S338" i="2"/>
  <c r="P338" i="2"/>
  <c r="U338" i="2" s="1"/>
  <c r="AO338" i="2" s="1"/>
  <c r="O338" i="2"/>
  <c r="N338" i="2"/>
  <c r="V338" i="2" s="1"/>
  <c r="AP337" i="2"/>
  <c r="AN337" i="2"/>
  <c r="AG337" i="2"/>
  <c r="AC337" i="2"/>
  <c r="AB337" i="2"/>
  <c r="S337" i="2"/>
  <c r="O337" i="2"/>
  <c r="N337" i="2"/>
  <c r="AP336" i="2"/>
  <c r="AN336" i="2"/>
  <c r="AG336" i="2"/>
  <c r="AC336" i="2"/>
  <c r="AB336" i="2"/>
  <c r="V336" i="2"/>
  <c r="S336" i="2"/>
  <c r="P336" i="2"/>
  <c r="U336" i="2" s="1"/>
  <c r="AO336" i="2" s="1"/>
  <c r="O336" i="2"/>
  <c r="N336" i="2"/>
  <c r="AP335" i="2"/>
  <c r="AN335" i="2"/>
  <c r="AC335" i="2"/>
  <c r="AB335" i="2"/>
  <c r="S335" i="2"/>
  <c r="P335" i="2"/>
  <c r="U335" i="2" s="1"/>
  <c r="AO335" i="2" s="1"/>
  <c r="O335" i="2"/>
  <c r="N335" i="2"/>
  <c r="AP334" i="2"/>
  <c r="AN334" i="2"/>
  <c r="AE334" i="2"/>
  <c r="AC334" i="2"/>
  <c r="AB334" i="2"/>
  <c r="S334" i="2"/>
  <c r="P334" i="2"/>
  <c r="U334" i="2" s="1"/>
  <c r="AO334" i="2" s="1"/>
  <c r="O334" i="2"/>
  <c r="V334" i="2" s="1"/>
  <c r="N334" i="2"/>
  <c r="AP333" i="2"/>
  <c r="AN333" i="2"/>
  <c r="AH333" i="2"/>
  <c r="AG333" i="2"/>
  <c r="AC333" i="2"/>
  <c r="AB333" i="2"/>
  <c r="S333" i="2"/>
  <c r="P333" i="2"/>
  <c r="O333" i="2"/>
  <c r="V333" i="2" s="1"/>
  <c r="N333" i="2"/>
  <c r="AP332" i="2"/>
  <c r="AN332" i="2"/>
  <c r="AH332" i="2"/>
  <c r="AC332" i="2"/>
  <c r="AB332" i="2"/>
  <c r="V332" i="2"/>
  <c r="S332" i="2"/>
  <c r="O332" i="2"/>
  <c r="P332" i="2" s="1"/>
  <c r="U332" i="2" s="1"/>
  <c r="AO332" i="2" s="1"/>
  <c r="N332" i="2"/>
  <c r="AP331" i="2"/>
  <c r="AN331" i="2"/>
  <c r="AC331" i="2"/>
  <c r="AB331" i="2"/>
  <c r="S331" i="2"/>
  <c r="O331" i="2"/>
  <c r="P331" i="2" s="1"/>
  <c r="U331" i="2" s="1"/>
  <c r="AO331" i="2" s="1"/>
  <c r="N331" i="2"/>
  <c r="AP330" i="2"/>
  <c r="AN330" i="2"/>
  <c r="AI330" i="2"/>
  <c r="AH330" i="2"/>
  <c r="AG330" i="2"/>
  <c r="AF330" i="2"/>
  <c r="AE330" i="2"/>
  <c r="AC330" i="2"/>
  <c r="AB330" i="2"/>
  <c r="V330" i="2"/>
  <c r="S330" i="2"/>
  <c r="P330" i="2"/>
  <c r="U330" i="2" s="1"/>
  <c r="AO330" i="2" s="1"/>
  <c r="O330" i="2"/>
  <c r="N330" i="2"/>
  <c r="AP329" i="2"/>
  <c r="AN329" i="2"/>
  <c r="AC329" i="2"/>
  <c r="AB329" i="2"/>
  <c r="V329" i="2"/>
  <c r="S329" i="2"/>
  <c r="P329" i="2"/>
  <c r="O329" i="2"/>
  <c r="N329" i="2"/>
  <c r="AP328" i="2"/>
  <c r="AN328" i="2"/>
  <c r="AC328" i="2"/>
  <c r="AB328" i="2"/>
  <c r="S328" i="2"/>
  <c r="O328" i="2"/>
  <c r="P328" i="2" s="1"/>
  <c r="U328" i="2" s="1"/>
  <c r="AO328" i="2" s="1"/>
  <c r="N328" i="2"/>
  <c r="AP327" i="2"/>
  <c r="AN327" i="2"/>
  <c r="AC327" i="2"/>
  <c r="AF327" i="2" s="1"/>
  <c r="AB327" i="2"/>
  <c r="S327" i="2"/>
  <c r="O327" i="2"/>
  <c r="N327" i="2"/>
  <c r="AP326" i="2"/>
  <c r="AN326" i="2"/>
  <c r="AI326" i="2"/>
  <c r="AC326" i="2"/>
  <c r="AB326" i="2"/>
  <c r="AG326" i="2" s="1"/>
  <c r="S326" i="2"/>
  <c r="O326" i="2"/>
  <c r="AH326" i="2" s="1"/>
  <c r="N326" i="2"/>
  <c r="AP325" i="2"/>
  <c r="AN325" i="2"/>
  <c r="AC325" i="2"/>
  <c r="AB325" i="2"/>
  <c r="S325" i="2"/>
  <c r="O325" i="2"/>
  <c r="N325" i="2"/>
  <c r="AP324" i="2"/>
  <c r="AN324" i="2"/>
  <c r="AC324" i="2"/>
  <c r="AB324" i="2"/>
  <c r="S324" i="2"/>
  <c r="O324" i="2"/>
  <c r="N324" i="2"/>
  <c r="AP323" i="2"/>
  <c r="AN323" i="2"/>
  <c r="AI323" i="2"/>
  <c r="AG323" i="2"/>
  <c r="AC323" i="2"/>
  <c r="AB323" i="2"/>
  <c r="S323" i="2"/>
  <c r="P323" i="2"/>
  <c r="U323" i="2" s="1"/>
  <c r="AO323" i="2" s="1"/>
  <c r="O323" i="2"/>
  <c r="V323" i="2" s="1"/>
  <c r="N323" i="2"/>
  <c r="AH323" i="2" s="1"/>
  <c r="AP322" i="2"/>
  <c r="AN322" i="2"/>
  <c r="AC322" i="2"/>
  <c r="AB322" i="2"/>
  <c r="S322" i="2"/>
  <c r="P322" i="2"/>
  <c r="U322" i="2" s="1"/>
  <c r="AO322" i="2" s="1"/>
  <c r="O322" i="2"/>
  <c r="N322" i="2"/>
  <c r="V322" i="2" s="1"/>
  <c r="AP321" i="2"/>
  <c r="AN321" i="2"/>
  <c r="AC321" i="2"/>
  <c r="AB321" i="2"/>
  <c r="S321" i="2"/>
  <c r="O321" i="2"/>
  <c r="AG321" i="2" s="1"/>
  <c r="N321" i="2"/>
  <c r="AI321" i="2" s="1"/>
  <c r="AP320" i="2"/>
  <c r="AN320" i="2"/>
  <c r="AG320" i="2"/>
  <c r="AC320" i="2"/>
  <c r="AB320" i="2"/>
  <c r="AH320" i="2" s="1"/>
  <c r="V320" i="2"/>
  <c r="S320" i="2"/>
  <c r="P320" i="2"/>
  <c r="U320" i="2" s="1"/>
  <c r="AO320" i="2" s="1"/>
  <c r="O320" i="2"/>
  <c r="N320" i="2"/>
  <c r="AI320" i="2" s="1"/>
  <c r="AP319" i="2"/>
  <c r="AN319" i="2"/>
  <c r="AC319" i="2"/>
  <c r="AB319" i="2"/>
  <c r="S319" i="2"/>
  <c r="P319" i="2"/>
  <c r="U319" i="2" s="1"/>
  <c r="AO319" i="2" s="1"/>
  <c r="O319" i="2"/>
  <c r="N319" i="2"/>
  <c r="AP318" i="2"/>
  <c r="AN318" i="2"/>
  <c r="AE318" i="2"/>
  <c r="AC318" i="2"/>
  <c r="AB318" i="2"/>
  <c r="S318" i="2"/>
  <c r="P318" i="2"/>
  <c r="U318" i="2" s="1"/>
  <c r="AO318" i="2" s="1"/>
  <c r="O318" i="2"/>
  <c r="N318" i="2"/>
  <c r="AP317" i="2"/>
  <c r="AN317" i="2"/>
  <c r="AC317" i="2"/>
  <c r="AB317" i="2"/>
  <c r="AH317" i="2" s="1"/>
  <c r="S317" i="2"/>
  <c r="P317" i="2"/>
  <c r="U317" i="2" s="1"/>
  <c r="AO317" i="2" s="1"/>
  <c r="O317" i="2"/>
  <c r="V317" i="2" s="1"/>
  <c r="N317" i="2"/>
  <c r="AP316" i="2"/>
  <c r="AN316" i="2"/>
  <c r="AH316" i="2"/>
  <c r="AC316" i="2"/>
  <c r="AB316" i="2"/>
  <c r="V316" i="2"/>
  <c r="S316" i="2"/>
  <c r="O316" i="2"/>
  <c r="P316" i="2" s="1"/>
  <c r="U316" i="2" s="1"/>
  <c r="AO316" i="2" s="1"/>
  <c r="N316" i="2"/>
  <c r="AP315" i="2"/>
  <c r="AN315" i="2"/>
  <c r="AE315" i="2"/>
  <c r="AC315" i="2"/>
  <c r="AB315" i="2"/>
  <c r="S315" i="2"/>
  <c r="O315" i="2"/>
  <c r="P315" i="2" s="1"/>
  <c r="U315" i="2" s="1"/>
  <c r="AO315" i="2" s="1"/>
  <c r="N315" i="2"/>
  <c r="AH315" i="2" s="1"/>
  <c r="AP314" i="2"/>
  <c r="AN314" i="2"/>
  <c r="AI314" i="2"/>
  <c r="AH314" i="2"/>
  <c r="AG314" i="2"/>
  <c r="AF314" i="2"/>
  <c r="AE314" i="2"/>
  <c r="AC314" i="2"/>
  <c r="AB314" i="2"/>
  <c r="V314" i="2"/>
  <c r="S314" i="2"/>
  <c r="P314" i="2"/>
  <c r="U314" i="2" s="1"/>
  <c r="AO314" i="2" s="1"/>
  <c r="O314" i="2"/>
  <c r="N314" i="2"/>
  <c r="AP313" i="2"/>
  <c r="AN313" i="2"/>
  <c r="AC313" i="2"/>
  <c r="AB313" i="2"/>
  <c r="V313" i="2"/>
  <c r="S313" i="2"/>
  <c r="P313" i="2"/>
  <c r="O313" i="2"/>
  <c r="N313" i="2"/>
  <c r="AP312" i="2"/>
  <c r="AN312" i="2"/>
  <c r="AC312" i="2"/>
  <c r="AB312" i="2"/>
  <c r="S312" i="2"/>
  <c r="O312" i="2"/>
  <c r="N312" i="2"/>
  <c r="AP311" i="2"/>
  <c r="AN311" i="2"/>
  <c r="AF311" i="2"/>
  <c r="AC311" i="2"/>
  <c r="AB311" i="2"/>
  <c r="S311" i="2"/>
  <c r="O311" i="2"/>
  <c r="N311" i="2"/>
  <c r="AI311" i="2" s="1"/>
  <c r="AP310" i="2"/>
  <c r="AN310" i="2"/>
  <c r="AC310" i="2"/>
  <c r="AB310" i="2"/>
  <c r="S310" i="2"/>
  <c r="O310" i="2"/>
  <c r="N310" i="2"/>
  <c r="AF310" i="2" s="1"/>
  <c r="AP309" i="2"/>
  <c r="AN309" i="2"/>
  <c r="AI309" i="2"/>
  <c r="AC309" i="2"/>
  <c r="AB309" i="2"/>
  <c r="S309" i="2"/>
  <c r="O309" i="2"/>
  <c r="N309" i="2"/>
  <c r="AP308" i="2"/>
  <c r="AN308" i="2"/>
  <c r="AG308" i="2"/>
  <c r="AC308" i="2"/>
  <c r="AB308" i="2"/>
  <c r="AE308" i="2" s="1"/>
  <c r="S308" i="2"/>
  <c r="O308" i="2"/>
  <c r="AI308" i="2" s="1"/>
  <c r="N308" i="2"/>
  <c r="AP307" i="2"/>
  <c r="AN307" i="2"/>
  <c r="AI307" i="2"/>
  <c r="AG307" i="2"/>
  <c r="AC307" i="2"/>
  <c r="AB307" i="2"/>
  <c r="S307" i="2"/>
  <c r="P307" i="2"/>
  <c r="U307" i="2" s="1"/>
  <c r="AO307" i="2" s="1"/>
  <c r="O307" i="2"/>
  <c r="V307" i="2" s="1"/>
  <c r="N307" i="2"/>
  <c r="AH307" i="2" s="1"/>
  <c r="AP306" i="2"/>
  <c r="AN306" i="2"/>
  <c r="AI306" i="2"/>
  <c r="AG306" i="2"/>
  <c r="AE306" i="2"/>
  <c r="AC306" i="2"/>
  <c r="AB306" i="2"/>
  <c r="S306" i="2"/>
  <c r="P306" i="2"/>
  <c r="U306" i="2" s="1"/>
  <c r="AO306" i="2" s="1"/>
  <c r="O306" i="2"/>
  <c r="V306" i="2" s="1"/>
  <c r="N306" i="2"/>
  <c r="AH306" i="2" s="1"/>
  <c r="AP305" i="2"/>
  <c r="AN305" i="2"/>
  <c r="AC305" i="2"/>
  <c r="AB305" i="2"/>
  <c r="S305" i="2"/>
  <c r="O305" i="2"/>
  <c r="V305" i="2" s="1"/>
  <c r="N305" i="2"/>
  <c r="AP304" i="2"/>
  <c r="AN304" i="2"/>
  <c r="AG304" i="2"/>
  <c r="AE304" i="2"/>
  <c r="AC304" i="2"/>
  <c r="AB304" i="2"/>
  <c r="S304" i="2"/>
  <c r="P304" i="2"/>
  <c r="U304" i="2" s="1"/>
  <c r="O304" i="2"/>
  <c r="N304" i="2"/>
  <c r="V304" i="2" s="1"/>
  <c r="AP303" i="2"/>
  <c r="AN303" i="2"/>
  <c r="AI303" i="2"/>
  <c r="AE303" i="2"/>
  <c r="AC303" i="2"/>
  <c r="AB303" i="2"/>
  <c r="S303" i="2"/>
  <c r="P303" i="2"/>
  <c r="U303" i="2" s="1"/>
  <c r="O303" i="2"/>
  <c r="N303" i="2"/>
  <c r="AP302" i="2"/>
  <c r="AN302" i="2"/>
  <c r="AE302" i="2"/>
  <c r="AC302" i="2"/>
  <c r="AB302" i="2"/>
  <c r="S302" i="2"/>
  <c r="P302" i="2"/>
  <c r="U302" i="2" s="1"/>
  <c r="O302" i="2"/>
  <c r="N302" i="2"/>
  <c r="AP301" i="2"/>
  <c r="AN301" i="2"/>
  <c r="AC301" i="2"/>
  <c r="AB301" i="2"/>
  <c r="S301" i="2"/>
  <c r="P301" i="2"/>
  <c r="U301" i="2" s="1"/>
  <c r="O301" i="2"/>
  <c r="N301" i="2"/>
  <c r="AP300" i="2"/>
  <c r="AN300" i="2"/>
  <c r="AC300" i="2"/>
  <c r="AB300" i="2"/>
  <c r="S300" i="2"/>
  <c r="P300" i="2"/>
  <c r="O300" i="2"/>
  <c r="N300" i="2"/>
  <c r="AP299" i="2"/>
  <c r="AN299" i="2"/>
  <c r="AF299" i="2"/>
  <c r="AE299" i="2"/>
  <c r="AC299" i="2"/>
  <c r="AB299" i="2"/>
  <c r="V299" i="2"/>
  <c r="S299" i="2"/>
  <c r="O299" i="2"/>
  <c r="P299" i="2" s="1"/>
  <c r="U299" i="2" s="1"/>
  <c r="N299" i="2"/>
  <c r="AP298" i="2"/>
  <c r="AH298" i="2"/>
  <c r="AG298" i="2"/>
  <c r="AF298" i="2"/>
  <c r="AE298" i="2"/>
  <c r="AC298" i="2"/>
  <c r="AB298" i="2"/>
  <c r="V298" i="2"/>
  <c r="S298" i="2"/>
  <c r="P298" i="2"/>
  <c r="U298" i="2" s="1"/>
  <c r="O298" i="2"/>
  <c r="N298" i="2"/>
  <c r="AI298" i="2" s="1"/>
  <c r="AP297" i="2"/>
  <c r="AN297" i="2"/>
  <c r="AH297" i="2"/>
  <c r="AC297" i="2"/>
  <c r="AB297" i="2"/>
  <c r="AG297" i="2" s="1"/>
  <c r="V297" i="2"/>
  <c r="S297" i="2"/>
  <c r="P297" i="2"/>
  <c r="O297" i="2"/>
  <c r="N297" i="2"/>
  <c r="AI297" i="2" s="1"/>
  <c r="AP296" i="2"/>
  <c r="AC296" i="2"/>
  <c r="AB296" i="2"/>
  <c r="S296" i="2"/>
  <c r="O296" i="2"/>
  <c r="P296" i="2" s="1"/>
  <c r="U296" i="2" s="1"/>
  <c r="N296" i="2"/>
  <c r="AP295" i="2"/>
  <c r="AN295" i="2"/>
  <c r="AC295" i="2"/>
  <c r="AB295" i="2"/>
  <c r="S295" i="2"/>
  <c r="O295" i="2"/>
  <c r="N295" i="2"/>
  <c r="AP294" i="2"/>
  <c r="AN294" i="2"/>
  <c r="AI294" i="2"/>
  <c r="AC294" i="2"/>
  <c r="AE294" i="2" s="1"/>
  <c r="AB294" i="2"/>
  <c r="V294" i="2"/>
  <c r="S294" i="2"/>
  <c r="P294" i="2"/>
  <c r="U294" i="2" s="1"/>
  <c r="O294" i="2"/>
  <c r="AH294" i="2" s="1"/>
  <c r="N294" i="2"/>
  <c r="AP293" i="2"/>
  <c r="AN293" i="2"/>
  <c r="AC293" i="2"/>
  <c r="AF293" i="2" s="1"/>
  <c r="AB293" i="2"/>
  <c r="S293" i="2"/>
  <c r="O293" i="2"/>
  <c r="V293" i="2" s="1"/>
  <c r="N293" i="2"/>
  <c r="AH293" i="2" s="1"/>
  <c r="AP292" i="2"/>
  <c r="AN292" i="2"/>
  <c r="AC292" i="2"/>
  <c r="AB292" i="2"/>
  <c r="S292" i="2"/>
  <c r="O292" i="2"/>
  <c r="N292" i="2"/>
  <c r="AI292" i="2" s="1"/>
  <c r="AP291" i="2"/>
  <c r="AI291" i="2"/>
  <c r="AC291" i="2"/>
  <c r="AB291" i="2"/>
  <c r="AG291" i="2" s="1"/>
  <c r="S291" i="2"/>
  <c r="O291" i="2"/>
  <c r="V291" i="2" s="1"/>
  <c r="N291" i="2"/>
  <c r="AH291" i="2" s="1"/>
  <c r="AP290" i="2"/>
  <c r="AI290" i="2"/>
  <c r="AC290" i="2"/>
  <c r="AB290" i="2"/>
  <c r="S290" i="2"/>
  <c r="O290" i="2"/>
  <c r="V290" i="2" s="1"/>
  <c r="N290" i="2"/>
  <c r="AH290" i="2" s="1"/>
  <c r="AP289" i="2"/>
  <c r="AH289" i="2"/>
  <c r="AG289" i="2"/>
  <c r="AE289" i="2"/>
  <c r="AC289" i="2"/>
  <c r="AB289" i="2"/>
  <c r="V289" i="2"/>
  <c r="S289" i="2"/>
  <c r="O289" i="2"/>
  <c r="P289" i="2" s="1"/>
  <c r="U289" i="2" s="1"/>
  <c r="N289" i="2"/>
  <c r="AI289" i="2" s="1"/>
  <c r="AP288" i="2"/>
  <c r="AI288" i="2"/>
  <c r="AH288" i="2"/>
  <c r="AG288" i="2"/>
  <c r="AF288" i="2"/>
  <c r="AC288" i="2"/>
  <c r="AB288" i="2"/>
  <c r="AE288" i="2" s="1"/>
  <c r="V288" i="2"/>
  <c r="S288" i="2"/>
  <c r="P288" i="2"/>
  <c r="U288" i="2" s="1"/>
  <c r="O288" i="2"/>
  <c r="N288" i="2"/>
  <c r="AP287" i="2"/>
  <c r="AE287" i="2"/>
  <c r="AC287" i="2"/>
  <c r="AB287" i="2"/>
  <c r="AI287" i="2" s="1"/>
  <c r="V287" i="2"/>
  <c r="S287" i="2"/>
  <c r="P287" i="2"/>
  <c r="U287" i="2" s="1"/>
  <c r="O287" i="2"/>
  <c r="N287" i="2"/>
  <c r="AH287" i="2" s="1"/>
  <c r="AP286" i="2"/>
  <c r="AN286" i="2"/>
  <c r="AG286" i="2"/>
  <c r="AF286" i="2"/>
  <c r="AE286" i="2"/>
  <c r="AC286" i="2"/>
  <c r="AB286" i="2"/>
  <c r="S286" i="2"/>
  <c r="P286" i="2"/>
  <c r="U286" i="2" s="1"/>
  <c r="O286" i="2"/>
  <c r="N286" i="2"/>
  <c r="V286" i="2" s="1"/>
  <c r="AP285" i="2"/>
  <c r="AN285" i="2"/>
  <c r="AC285" i="2"/>
  <c r="AB285" i="2"/>
  <c r="AG285" i="2" s="1"/>
  <c r="S285" i="2"/>
  <c r="P285" i="2"/>
  <c r="U285" i="2" s="1"/>
  <c r="O285" i="2"/>
  <c r="V285" i="2" s="1"/>
  <c r="N285" i="2"/>
  <c r="AI285" i="2" s="1"/>
  <c r="AP284" i="2"/>
  <c r="AN284" i="2"/>
  <c r="AC284" i="2"/>
  <c r="AB284" i="2"/>
  <c r="AE284" i="2" s="1"/>
  <c r="S284" i="2"/>
  <c r="O284" i="2"/>
  <c r="V284" i="2" s="1"/>
  <c r="N284" i="2"/>
  <c r="AI284" i="2" s="1"/>
  <c r="AP283" i="2"/>
  <c r="AN283" i="2"/>
  <c r="AC283" i="2"/>
  <c r="AB283" i="2"/>
  <c r="S283" i="2"/>
  <c r="P283" i="2"/>
  <c r="U283" i="2" s="1"/>
  <c r="O283" i="2"/>
  <c r="N283" i="2"/>
  <c r="AP282" i="2"/>
  <c r="AN282" i="2"/>
  <c r="AC282" i="2"/>
  <c r="AB282" i="2"/>
  <c r="AI282" i="2" s="1"/>
  <c r="V282" i="2"/>
  <c r="S282" i="2"/>
  <c r="P282" i="2"/>
  <c r="U282" i="2" s="1"/>
  <c r="O282" i="2"/>
  <c r="N282" i="2"/>
  <c r="AG282" i="2" s="1"/>
  <c r="AP281" i="2"/>
  <c r="AN281" i="2"/>
  <c r="AH281" i="2"/>
  <c r="AC281" i="2"/>
  <c r="AB281" i="2"/>
  <c r="S281" i="2"/>
  <c r="O281" i="2"/>
  <c r="P281" i="2" s="1"/>
  <c r="U281" i="2" s="1"/>
  <c r="N281" i="2"/>
  <c r="AG281" i="2" s="1"/>
  <c r="AP280" i="2"/>
  <c r="AF280" i="2"/>
  <c r="AC280" i="2"/>
  <c r="AG280" i="2" s="1"/>
  <c r="AB280" i="2"/>
  <c r="V280" i="2"/>
  <c r="S280" i="2"/>
  <c r="O280" i="2"/>
  <c r="P280" i="2" s="1"/>
  <c r="U280" i="2" s="1"/>
  <c r="N280" i="2"/>
  <c r="AI280" i="2" s="1"/>
  <c r="AP279" i="2"/>
  <c r="AN279" i="2"/>
  <c r="AH279" i="2"/>
  <c r="AG279" i="2"/>
  <c r="AF279" i="2"/>
  <c r="AC279" i="2"/>
  <c r="AB279" i="2"/>
  <c r="S279" i="2"/>
  <c r="O279" i="2"/>
  <c r="AE279" i="2" s="1"/>
  <c r="N279" i="2"/>
  <c r="AI279" i="2" s="1"/>
  <c r="AP278" i="2"/>
  <c r="AN278" i="2"/>
  <c r="AC278" i="2"/>
  <c r="AH278" i="2" s="1"/>
  <c r="AB278" i="2"/>
  <c r="V278" i="2"/>
  <c r="S278" i="2"/>
  <c r="P278" i="2"/>
  <c r="U278" i="2" s="1"/>
  <c r="O278" i="2"/>
  <c r="AI278" i="2" s="1"/>
  <c r="N278" i="2"/>
  <c r="AP277" i="2"/>
  <c r="AN277" i="2"/>
  <c r="AC277" i="2"/>
  <c r="AF277" i="2" s="1"/>
  <c r="AB277" i="2"/>
  <c r="AG277" i="2" s="1"/>
  <c r="S277" i="2"/>
  <c r="O277" i="2"/>
  <c r="V277" i="2" s="1"/>
  <c r="N277" i="2"/>
  <c r="AH277" i="2" s="1"/>
  <c r="AP276" i="2"/>
  <c r="AC276" i="2"/>
  <c r="AB276" i="2"/>
  <c r="S276" i="2"/>
  <c r="O276" i="2"/>
  <c r="N276" i="2"/>
  <c r="AP275" i="2"/>
  <c r="AI275" i="2"/>
  <c r="AC275" i="2"/>
  <c r="AB275" i="2"/>
  <c r="S275" i="2"/>
  <c r="P275" i="2"/>
  <c r="O275" i="2"/>
  <c r="V275" i="2" s="1"/>
  <c r="N275" i="2"/>
  <c r="AH275" i="2" s="1"/>
  <c r="AP274" i="2"/>
  <c r="AI274" i="2"/>
  <c r="AC274" i="2"/>
  <c r="AB274" i="2"/>
  <c r="S274" i="2"/>
  <c r="O274" i="2"/>
  <c r="V274" i="2" s="1"/>
  <c r="N274" i="2"/>
  <c r="AH274" i="2" s="1"/>
  <c r="AP273" i="2"/>
  <c r="AN273" i="2"/>
  <c r="AH273" i="2"/>
  <c r="AG273" i="2"/>
  <c r="AE273" i="2"/>
  <c r="AC273" i="2"/>
  <c r="AB273" i="2"/>
  <c r="V273" i="2"/>
  <c r="S273" i="2"/>
  <c r="O273" i="2"/>
  <c r="P273" i="2" s="1"/>
  <c r="U273" i="2" s="1"/>
  <c r="N273" i="2"/>
  <c r="AI273" i="2" s="1"/>
  <c r="AP272" i="2"/>
  <c r="AN272" i="2"/>
  <c r="AI272" i="2"/>
  <c r="AH272" i="2"/>
  <c r="AG272" i="2"/>
  <c r="AF272" i="2"/>
  <c r="AE272" i="2"/>
  <c r="AC272" i="2"/>
  <c r="AB272" i="2"/>
  <c r="V272" i="2"/>
  <c r="S272" i="2"/>
  <c r="P272" i="2"/>
  <c r="U272" i="2" s="1"/>
  <c r="AO272" i="2" s="1"/>
  <c r="O272" i="2"/>
  <c r="N272" i="2"/>
  <c r="AP271" i="2"/>
  <c r="AN271" i="2"/>
  <c r="AE271" i="2"/>
  <c r="AC271" i="2"/>
  <c r="AB271" i="2"/>
  <c r="AF271" i="2" s="1"/>
  <c r="V271" i="2"/>
  <c r="S271" i="2"/>
  <c r="P271" i="2"/>
  <c r="U271" i="2" s="1"/>
  <c r="AO271" i="2" s="1"/>
  <c r="O271" i="2"/>
  <c r="N271" i="2"/>
  <c r="AI271" i="2" s="1"/>
  <c r="AP270" i="2"/>
  <c r="AN270" i="2"/>
  <c r="AG270" i="2"/>
  <c r="AF270" i="2"/>
  <c r="AE270" i="2"/>
  <c r="AC270" i="2"/>
  <c r="AB270" i="2"/>
  <c r="S270" i="2"/>
  <c r="P270" i="2"/>
  <c r="U270" i="2" s="1"/>
  <c r="O270" i="2"/>
  <c r="N270" i="2"/>
  <c r="V270" i="2" s="1"/>
  <c r="AP269" i="2"/>
  <c r="AC269" i="2"/>
  <c r="AB269" i="2"/>
  <c r="AG269" i="2" s="1"/>
  <c r="S269" i="2"/>
  <c r="P269" i="2"/>
  <c r="U269" i="2" s="1"/>
  <c r="O269" i="2"/>
  <c r="V269" i="2" s="1"/>
  <c r="N269" i="2"/>
  <c r="AI269" i="2" s="1"/>
  <c r="AP268" i="2"/>
  <c r="AN268" i="2"/>
  <c r="AC268" i="2"/>
  <c r="AB268" i="2"/>
  <c r="AE268" i="2" s="1"/>
  <c r="S268" i="2"/>
  <c r="O268" i="2"/>
  <c r="V268" i="2" s="1"/>
  <c r="N268" i="2"/>
  <c r="AI268" i="2" s="1"/>
  <c r="AP267" i="2"/>
  <c r="AN267" i="2"/>
  <c r="AC267" i="2"/>
  <c r="AB267" i="2"/>
  <c r="S267" i="2"/>
  <c r="P267" i="2"/>
  <c r="U267" i="2" s="1"/>
  <c r="O267" i="2"/>
  <c r="N267" i="2"/>
  <c r="AP266" i="2"/>
  <c r="AN266" i="2"/>
  <c r="AC266" i="2"/>
  <c r="AB266" i="2"/>
  <c r="AI266" i="2" s="1"/>
  <c r="V266" i="2"/>
  <c r="S266" i="2"/>
  <c r="P266" i="2"/>
  <c r="U266" i="2" s="1"/>
  <c r="O266" i="2"/>
  <c r="N266" i="2"/>
  <c r="AP265" i="2"/>
  <c r="AH265" i="2"/>
  <c r="AC265" i="2"/>
  <c r="AB265" i="2"/>
  <c r="S265" i="2"/>
  <c r="O265" i="2"/>
  <c r="P265" i="2" s="1"/>
  <c r="U265" i="2" s="1"/>
  <c r="N265" i="2"/>
  <c r="AG265" i="2" s="1"/>
  <c r="AP264" i="2"/>
  <c r="AF264" i="2"/>
  <c r="AC264" i="2"/>
  <c r="AG264" i="2" s="1"/>
  <c r="AB264" i="2"/>
  <c r="V264" i="2"/>
  <c r="S264" i="2"/>
  <c r="O264" i="2"/>
  <c r="P264" i="2" s="1"/>
  <c r="U264" i="2" s="1"/>
  <c r="N264" i="2"/>
  <c r="AI264" i="2" s="1"/>
  <c r="AP263" i="2"/>
  <c r="AH263" i="2"/>
  <c r="AG263" i="2"/>
  <c r="AF263" i="2"/>
  <c r="AC263" i="2"/>
  <c r="AB263" i="2"/>
  <c r="S263" i="2"/>
  <c r="O263" i="2"/>
  <c r="AE263" i="2" s="1"/>
  <c r="N263" i="2"/>
  <c r="AI263" i="2" s="1"/>
  <c r="AP262" i="2"/>
  <c r="AN262" i="2"/>
  <c r="AC262" i="2"/>
  <c r="AH262" i="2" s="1"/>
  <c r="AB262" i="2"/>
  <c r="V262" i="2"/>
  <c r="S262" i="2"/>
  <c r="P262" i="2"/>
  <c r="U262" i="2" s="1"/>
  <c r="O262" i="2"/>
  <c r="AI262" i="2" s="1"/>
  <c r="N262" i="2"/>
  <c r="AF262" i="2" s="1"/>
  <c r="AP261" i="2"/>
  <c r="AN261" i="2"/>
  <c r="AC261" i="2"/>
  <c r="AF261" i="2" s="1"/>
  <c r="AB261" i="2"/>
  <c r="AG261" i="2" s="1"/>
  <c r="S261" i="2"/>
  <c r="O261" i="2"/>
  <c r="V261" i="2" s="1"/>
  <c r="N261" i="2"/>
  <c r="AH261" i="2" s="1"/>
  <c r="AP260" i="2"/>
  <c r="AC260" i="2"/>
  <c r="AB260" i="2"/>
  <c r="S260" i="2"/>
  <c r="O260" i="2"/>
  <c r="N260" i="2"/>
  <c r="AP259" i="2"/>
  <c r="AC259" i="2"/>
  <c r="AI259" i="2" s="1"/>
  <c r="AB259" i="2"/>
  <c r="S259" i="2"/>
  <c r="P259" i="2"/>
  <c r="O259" i="2"/>
  <c r="V259" i="2" s="1"/>
  <c r="N259" i="2"/>
  <c r="AH259" i="2" s="1"/>
  <c r="AP258" i="2"/>
  <c r="AI258" i="2"/>
  <c r="AC258" i="2"/>
  <c r="AB258" i="2"/>
  <c r="S258" i="2"/>
  <c r="O258" i="2"/>
  <c r="V258" i="2" s="1"/>
  <c r="N258" i="2"/>
  <c r="AH258" i="2" s="1"/>
  <c r="AP257" i="2"/>
  <c r="AN257" i="2"/>
  <c r="AH257" i="2"/>
  <c r="AG257" i="2"/>
  <c r="AE257" i="2"/>
  <c r="AC257" i="2"/>
  <c r="AB257" i="2"/>
  <c r="V257" i="2"/>
  <c r="S257" i="2"/>
  <c r="P257" i="2"/>
  <c r="U257" i="2" s="1"/>
  <c r="O257" i="2"/>
  <c r="N257" i="2"/>
  <c r="AI257" i="2" s="1"/>
  <c r="AP256" i="2"/>
  <c r="AN256" i="2"/>
  <c r="AI256" i="2"/>
  <c r="AH256" i="2"/>
  <c r="AG256" i="2"/>
  <c r="AF256" i="2"/>
  <c r="AE256" i="2"/>
  <c r="AC256" i="2"/>
  <c r="AB256" i="2"/>
  <c r="V256" i="2"/>
  <c r="S256" i="2"/>
  <c r="P256" i="2"/>
  <c r="U256" i="2" s="1"/>
  <c r="O256" i="2"/>
  <c r="N256" i="2"/>
  <c r="AP255" i="2"/>
  <c r="AN255" i="2"/>
  <c r="AE255" i="2"/>
  <c r="AC255" i="2"/>
  <c r="AB255" i="2"/>
  <c r="AF255" i="2" s="1"/>
  <c r="V255" i="2"/>
  <c r="S255" i="2"/>
  <c r="W255" i="2" s="1"/>
  <c r="P255" i="2"/>
  <c r="U255" i="2" s="1"/>
  <c r="O255" i="2"/>
  <c r="N255" i="2"/>
  <c r="AI255" i="2" s="1"/>
  <c r="AP254" i="2"/>
  <c r="AG254" i="2"/>
  <c r="AF254" i="2"/>
  <c r="AE254" i="2"/>
  <c r="AC254" i="2"/>
  <c r="AB254" i="2"/>
  <c r="S254" i="2"/>
  <c r="P254" i="2"/>
  <c r="U254" i="2" s="1"/>
  <c r="O254" i="2"/>
  <c r="N254" i="2"/>
  <c r="V254" i="2" s="1"/>
  <c r="AP253" i="2"/>
  <c r="AN253" i="2"/>
  <c r="AC253" i="2"/>
  <c r="AB253" i="2"/>
  <c r="AG253" i="2" s="1"/>
  <c r="S253" i="2"/>
  <c r="P253" i="2"/>
  <c r="U253" i="2" s="1"/>
  <c r="O253" i="2"/>
  <c r="V253" i="2" s="1"/>
  <c r="N253" i="2"/>
  <c r="AI253" i="2" s="1"/>
  <c r="AP252" i="2"/>
  <c r="AN252" i="2"/>
  <c r="AC252" i="2"/>
  <c r="AB252" i="2"/>
  <c r="AE252" i="2" s="1"/>
  <c r="S252" i="2"/>
  <c r="O252" i="2"/>
  <c r="V252" i="2" s="1"/>
  <c r="N252" i="2"/>
  <c r="AI252" i="2" s="1"/>
  <c r="AP251" i="2"/>
  <c r="AN251" i="2"/>
  <c r="AC251" i="2"/>
  <c r="AB251" i="2"/>
  <c r="S251" i="2"/>
  <c r="P251" i="2"/>
  <c r="U251" i="2" s="1"/>
  <c r="O251" i="2"/>
  <c r="V251" i="2" s="1"/>
  <c r="N251" i="2"/>
  <c r="AP250" i="2"/>
  <c r="AC250" i="2"/>
  <c r="AB250" i="2"/>
  <c r="AI250" i="2" s="1"/>
  <c r="V250" i="2"/>
  <c r="S250" i="2"/>
  <c r="P250" i="2"/>
  <c r="U250" i="2" s="1"/>
  <c r="O250" i="2"/>
  <c r="N250" i="2"/>
  <c r="AP249" i="2"/>
  <c r="AH249" i="2"/>
  <c r="AC249" i="2"/>
  <c r="AB249" i="2"/>
  <c r="S249" i="2"/>
  <c r="P249" i="2"/>
  <c r="O249" i="2"/>
  <c r="N249" i="2"/>
  <c r="AG249" i="2" s="1"/>
  <c r="AP248" i="2"/>
  <c r="AN248" i="2"/>
  <c r="AF248" i="2"/>
  <c r="AC248" i="2"/>
  <c r="AG248" i="2" s="1"/>
  <c r="AB248" i="2"/>
  <c r="V248" i="2"/>
  <c r="S248" i="2"/>
  <c r="O248" i="2"/>
  <c r="P248" i="2" s="1"/>
  <c r="U248" i="2" s="1"/>
  <c r="N248" i="2"/>
  <c r="AI248" i="2" s="1"/>
  <c r="AP247" i="2"/>
  <c r="AN247" i="2"/>
  <c r="AH247" i="2"/>
  <c r="AG247" i="2"/>
  <c r="AF247" i="2"/>
  <c r="AC247" i="2"/>
  <c r="AB247" i="2"/>
  <c r="S247" i="2"/>
  <c r="O247" i="2"/>
  <c r="AE247" i="2" s="1"/>
  <c r="N247" i="2"/>
  <c r="AI247" i="2" s="1"/>
  <c r="AP246" i="2"/>
  <c r="AN246" i="2"/>
  <c r="AC246" i="2"/>
  <c r="AE246" i="2" s="1"/>
  <c r="AB246" i="2"/>
  <c r="V246" i="2"/>
  <c r="U246" i="2"/>
  <c r="S246" i="2"/>
  <c r="P246" i="2"/>
  <c r="O246" i="2"/>
  <c r="AI246" i="2" s="1"/>
  <c r="N246" i="2"/>
  <c r="AF246" i="2" s="1"/>
  <c r="AP245" i="2"/>
  <c r="AC245" i="2"/>
  <c r="AF245" i="2" s="1"/>
  <c r="AB245" i="2"/>
  <c r="S245" i="2"/>
  <c r="O245" i="2"/>
  <c r="V245" i="2" s="1"/>
  <c r="N245" i="2"/>
  <c r="AH245" i="2" s="1"/>
  <c r="AP244" i="2"/>
  <c r="AC244" i="2"/>
  <c r="AB244" i="2"/>
  <c r="S244" i="2"/>
  <c r="O244" i="2"/>
  <c r="N244" i="2"/>
  <c r="AP243" i="2"/>
  <c r="AC243" i="2"/>
  <c r="AI243" i="2" s="1"/>
  <c r="AB243" i="2"/>
  <c r="S243" i="2"/>
  <c r="P243" i="2"/>
  <c r="O243" i="2"/>
  <c r="V243" i="2" s="1"/>
  <c r="N243" i="2"/>
  <c r="AH243" i="2" s="1"/>
  <c r="AP242" i="2"/>
  <c r="AI242" i="2"/>
  <c r="AC242" i="2"/>
  <c r="AB242" i="2"/>
  <c r="S242" i="2"/>
  <c r="O242" i="2"/>
  <c r="V242" i="2" s="1"/>
  <c r="N242" i="2"/>
  <c r="AH242" i="2" s="1"/>
  <c r="AP241" i="2"/>
  <c r="AN241" i="2"/>
  <c r="AH241" i="2"/>
  <c r="AG241" i="2"/>
  <c r="AE241" i="2"/>
  <c r="AC241" i="2"/>
  <c r="AB241" i="2"/>
  <c r="V241" i="2"/>
  <c r="S241" i="2"/>
  <c r="P241" i="2"/>
  <c r="U241" i="2" s="1"/>
  <c r="O241" i="2"/>
  <c r="N241" i="2"/>
  <c r="AI241" i="2" s="1"/>
  <c r="AP240" i="2"/>
  <c r="AN240" i="2"/>
  <c r="AI240" i="2"/>
  <c r="AH240" i="2"/>
  <c r="AG240" i="2"/>
  <c r="AF240" i="2"/>
  <c r="AE240" i="2"/>
  <c r="AC240" i="2"/>
  <c r="AB240" i="2"/>
  <c r="V240" i="2"/>
  <c r="S240" i="2"/>
  <c r="P240" i="2"/>
  <c r="U240" i="2" s="1"/>
  <c r="O240" i="2"/>
  <c r="N240" i="2"/>
  <c r="AP239" i="2"/>
  <c r="AN239" i="2"/>
  <c r="AE239" i="2"/>
  <c r="AC239" i="2"/>
  <c r="AB239" i="2"/>
  <c r="AF239" i="2" s="1"/>
  <c r="V239" i="2"/>
  <c r="S239" i="2"/>
  <c r="W239" i="2" s="1"/>
  <c r="P239" i="2"/>
  <c r="U239" i="2" s="1"/>
  <c r="AO239" i="2" s="1"/>
  <c r="O239" i="2"/>
  <c r="N239" i="2"/>
  <c r="AI239" i="2" s="1"/>
  <c r="AP238" i="2"/>
  <c r="AN238" i="2"/>
  <c r="AG238" i="2"/>
  <c r="AE238" i="2"/>
  <c r="AC238" i="2"/>
  <c r="AB238" i="2"/>
  <c r="S238" i="2"/>
  <c r="P238" i="2"/>
  <c r="U238" i="2" s="1"/>
  <c r="AO238" i="2" s="1"/>
  <c r="O238" i="2"/>
  <c r="V238" i="2" s="1"/>
  <c r="N238" i="2"/>
  <c r="AI238" i="2" s="1"/>
  <c r="AP237" i="2"/>
  <c r="AN237" i="2"/>
  <c r="AC237" i="2"/>
  <c r="AB237" i="2"/>
  <c r="AG237" i="2" s="1"/>
  <c r="S237" i="2"/>
  <c r="P237" i="2"/>
  <c r="U237" i="2" s="1"/>
  <c r="AO237" i="2" s="1"/>
  <c r="O237" i="2"/>
  <c r="V237" i="2" s="1"/>
  <c r="N237" i="2"/>
  <c r="AI237" i="2" s="1"/>
  <c r="AP236" i="2"/>
  <c r="AN236" i="2"/>
  <c r="AE236" i="2"/>
  <c r="AC236" i="2"/>
  <c r="AB236" i="2"/>
  <c r="S236" i="2"/>
  <c r="O236" i="2"/>
  <c r="V236" i="2" s="1"/>
  <c r="N236" i="2"/>
  <c r="AP235" i="2"/>
  <c r="AC235" i="2"/>
  <c r="AB235" i="2"/>
  <c r="S235" i="2"/>
  <c r="P235" i="2"/>
  <c r="U235" i="2" s="1"/>
  <c r="O235" i="2"/>
  <c r="V235" i="2" s="1"/>
  <c r="N235" i="2"/>
  <c r="AP234" i="2"/>
  <c r="AN234" i="2"/>
  <c r="AC234" i="2"/>
  <c r="AB234" i="2"/>
  <c r="V234" i="2"/>
  <c r="S234" i="2"/>
  <c r="P234" i="2"/>
  <c r="O234" i="2"/>
  <c r="N234" i="2"/>
  <c r="AP233" i="2"/>
  <c r="AN233" i="2"/>
  <c r="AC233" i="2"/>
  <c r="AB233" i="2"/>
  <c r="S233" i="2"/>
  <c r="O233" i="2"/>
  <c r="P233" i="2" s="1"/>
  <c r="U233" i="2" s="1"/>
  <c r="AO233" i="2" s="1"/>
  <c r="N233" i="2"/>
  <c r="AP232" i="2"/>
  <c r="AF232" i="2"/>
  <c r="AC232" i="2"/>
  <c r="AG232" i="2" s="1"/>
  <c r="AB232" i="2"/>
  <c r="V232" i="2"/>
  <c r="S232" i="2"/>
  <c r="O232" i="2"/>
  <c r="P232" i="2" s="1"/>
  <c r="U232" i="2" s="1"/>
  <c r="AO232" i="2" s="1"/>
  <c r="N232" i="2"/>
  <c r="AI232" i="2" s="1"/>
  <c r="AP231" i="2"/>
  <c r="AH231" i="2"/>
  <c r="AG231" i="2"/>
  <c r="AF231" i="2"/>
  <c r="AC231" i="2"/>
  <c r="AB231" i="2"/>
  <c r="S231" i="2"/>
  <c r="O231" i="2"/>
  <c r="AE231" i="2" s="1"/>
  <c r="N231" i="2"/>
  <c r="AI231" i="2" s="1"/>
  <c r="AP230" i="2"/>
  <c r="AN230" i="2"/>
  <c r="AC230" i="2"/>
  <c r="AB230" i="2"/>
  <c r="V230" i="2"/>
  <c r="S230" i="2"/>
  <c r="P230" i="2"/>
  <c r="U230" i="2" s="1"/>
  <c r="AO230" i="2" s="1"/>
  <c r="O230" i="2"/>
  <c r="N230" i="2"/>
  <c r="AP229" i="2"/>
  <c r="AC229" i="2"/>
  <c r="AB229" i="2"/>
  <c r="S229" i="2"/>
  <c r="O229" i="2"/>
  <c r="N229" i="2"/>
  <c r="AH229" i="2" s="1"/>
  <c r="AP228" i="2"/>
  <c r="AC228" i="2"/>
  <c r="AB228" i="2"/>
  <c r="S228" i="2"/>
  <c r="O228" i="2"/>
  <c r="N228" i="2"/>
  <c r="AI228" i="2" s="1"/>
  <c r="AP227" i="2"/>
  <c r="AI227" i="2"/>
  <c r="AC227" i="2"/>
  <c r="AG227" i="2" s="1"/>
  <c r="AB227" i="2"/>
  <c r="S227" i="2"/>
  <c r="O227" i="2"/>
  <c r="V227" i="2" s="1"/>
  <c r="N227" i="2"/>
  <c r="AP226" i="2"/>
  <c r="AN226" i="2"/>
  <c r="AI226" i="2"/>
  <c r="AC226" i="2"/>
  <c r="AB226" i="2"/>
  <c r="S226" i="2"/>
  <c r="O226" i="2"/>
  <c r="N226" i="2"/>
  <c r="AH226" i="2" s="1"/>
  <c r="AP225" i="2"/>
  <c r="AN225" i="2"/>
  <c r="AH225" i="2"/>
  <c r="AG225" i="2"/>
  <c r="AE225" i="2"/>
  <c r="AC225" i="2"/>
  <c r="AB225" i="2"/>
  <c r="V225" i="2"/>
  <c r="S225" i="2"/>
  <c r="P225" i="2"/>
  <c r="U225" i="2" s="1"/>
  <c r="O225" i="2"/>
  <c r="N225" i="2"/>
  <c r="AI225" i="2" s="1"/>
  <c r="AP224" i="2"/>
  <c r="AI224" i="2"/>
  <c r="AH224" i="2"/>
  <c r="AG224" i="2"/>
  <c r="AF224" i="2"/>
  <c r="AE224" i="2"/>
  <c r="AC224" i="2"/>
  <c r="AB224" i="2"/>
  <c r="V224" i="2"/>
  <c r="S224" i="2"/>
  <c r="P224" i="2"/>
  <c r="U224" i="2" s="1"/>
  <c r="O224" i="2"/>
  <c r="N224" i="2"/>
  <c r="AP223" i="2"/>
  <c r="AE223" i="2"/>
  <c r="AC223" i="2"/>
  <c r="AB223" i="2"/>
  <c r="AG223" i="2" s="1"/>
  <c r="V223" i="2"/>
  <c r="S223" i="2"/>
  <c r="W223" i="2" s="1"/>
  <c r="P223" i="2"/>
  <c r="U223" i="2" s="1"/>
  <c r="O223" i="2"/>
  <c r="N223" i="2"/>
  <c r="AI223" i="2" s="1"/>
  <c r="AP222" i="2"/>
  <c r="AN222" i="2"/>
  <c r="AG222" i="2"/>
  <c r="AE222" i="2"/>
  <c r="AC222" i="2"/>
  <c r="AB222" i="2"/>
  <c r="S222" i="2"/>
  <c r="P222" i="2"/>
  <c r="U222" i="2" s="1"/>
  <c r="O222" i="2"/>
  <c r="V222" i="2" s="1"/>
  <c r="N222" i="2"/>
  <c r="AI222" i="2" s="1"/>
  <c r="AP221" i="2"/>
  <c r="AC221" i="2"/>
  <c r="AB221" i="2"/>
  <c r="AG221" i="2" s="1"/>
  <c r="S221" i="2"/>
  <c r="P221" i="2"/>
  <c r="U221" i="2" s="1"/>
  <c r="O221" i="2"/>
  <c r="V221" i="2" s="1"/>
  <c r="N221" i="2"/>
  <c r="AI221" i="2" s="1"/>
  <c r="AP220" i="2"/>
  <c r="AC220" i="2"/>
  <c r="AB220" i="2"/>
  <c r="AE220" i="2" s="1"/>
  <c r="S220" i="2"/>
  <c r="O220" i="2"/>
  <c r="V220" i="2" s="1"/>
  <c r="N220" i="2"/>
  <c r="AP219" i="2"/>
  <c r="AN219" i="2"/>
  <c r="AC219" i="2"/>
  <c r="AB219" i="2"/>
  <c r="S219" i="2"/>
  <c r="P219" i="2"/>
  <c r="U219" i="2" s="1"/>
  <c r="O219" i="2"/>
  <c r="N219" i="2"/>
  <c r="AP218" i="2"/>
  <c r="AN218" i="2"/>
  <c r="AH218" i="2"/>
  <c r="AC218" i="2"/>
  <c r="AB218" i="2"/>
  <c r="S218" i="2"/>
  <c r="P218" i="2"/>
  <c r="O218" i="2"/>
  <c r="V218" i="2" s="1"/>
  <c r="N218" i="2"/>
  <c r="AP217" i="2"/>
  <c r="AN217" i="2"/>
  <c r="AH217" i="2"/>
  <c r="AC217" i="2"/>
  <c r="AB217" i="2"/>
  <c r="V217" i="2"/>
  <c r="S217" i="2"/>
  <c r="P217" i="2"/>
  <c r="U217" i="2" s="1"/>
  <c r="O217" i="2"/>
  <c r="N217" i="2"/>
  <c r="AP216" i="2"/>
  <c r="AF216" i="2"/>
  <c r="AC216" i="2"/>
  <c r="AG216" i="2" s="1"/>
  <c r="AB216" i="2"/>
  <c r="V216" i="2"/>
  <c r="S216" i="2"/>
  <c r="P216" i="2"/>
  <c r="U216" i="2" s="1"/>
  <c r="O216" i="2"/>
  <c r="N216" i="2"/>
  <c r="AI216" i="2" s="1"/>
  <c r="AP215" i="2"/>
  <c r="AN215" i="2"/>
  <c r="AH215" i="2"/>
  <c r="AF215" i="2"/>
  <c r="AC215" i="2"/>
  <c r="AB215" i="2"/>
  <c r="S215" i="2"/>
  <c r="O215" i="2"/>
  <c r="AE215" i="2" s="1"/>
  <c r="N215" i="2"/>
  <c r="AI215" i="2" s="1"/>
  <c r="AP214" i="2"/>
  <c r="AC214" i="2"/>
  <c r="AB214" i="2"/>
  <c r="V214" i="2"/>
  <c r="S214" i="2"/>
  <c r="P214" i="2"/>
  <c r="U214" i="2" s="1"/>
  <c r="O214" i="2"/>
  <c r="N214" i="2"/>
  <c r="AI214" i="2" s="1"/>
  <c r="AP213" i="2"/>
  <c r="AN213" i="2"/>
  <c r="AF213" i="2"/>
  <c r="AC213" i="2"/>
  <c r="AB213" i="2"/>
  <c r="S213" i="2"/>
  <c r="O213" i="2"/>
  <c r="N213" i="2"/>
  <c r="AH213" i="2" s="1"/>
  <c r="AP212" i="2"/>
  <c r="AC212" i="2"/>
  <c r="AB212" i="2"/>
  <c r="S212" i="2"/>
  <c r="O212" i="2"/>
  <c r="N212" i="2"/>
  <c r="AP211" i="2"/>
  <c r="AI211" i="2"/>
  <c r="AG211" i="2"/>
  <c r="AC211" i="2"/>
  <c r="AB211" i="2"/>
  <c r="S211" i="2"/>
  <c r="P211" i="2"/>
  <c r="O211" i="2"/>
  <c r="V211" i="2" s="1"/>
  <c r="N211" i="2"/>
  <c r="AP210" i="2"/>
  <c r="AN210" i="2"/>
  <c r="AI210" i="2"/>
  <c r="AC210" i="2"/>
  <c r="AB210" i="2"/>
  <c r="S210" i="2"/>
  <c r="O210" i="2"/>
  <c r="N210" i="2"/>
  <c r="AP209" i="2"/>
  <c r="AH209" i="2"/>
  <c r="AG209" i="2"/>
  <c r="AE209" i="2"/>
  <c r="AC209" i="2"/>
  <c r="AB209" i="2"/>
  <c r="V209" i="2"/>
  <c r="S209" i="2"/>
  <c r="O209" i="2"/>
  <c r="P209" i="2" s="1"/>
  <c r="U209" i="2" s="1"/>
  <c r="N209" i="2"/>
  <c r="AI209" i="2" s="1"/>
  <c r="AP208" i="2"/>
  <c r="AI208" i="2"/>
  <c r="AH208" i="2"/>
  <c r="AG208" i="2"/>
  <c r="AF208" i="2"/>
  <c r="AC208" i="2"/>
  <c r="AB208" i="2"/>
  <c r="V208" i="2"/>
  <c r="S208" i="2"/>
  <c r="P208" i="2"/>
  <c r="U208" i="2" s="1"/>
  <c r="O208" i="2"/>
  <c r="N208" i="2"/>
  <c r="AE208" i="2" s="1"/>
  <c r="AP207" i="2"/>
  <c r="AE207" i="2"/>
  <c r="AC207" i="2"/>
  <c r="AB207" i="2"/>
  <c r="V207" i="2"/>
  <c r="S207" i="2"/>
  <c r="P207" i="2"/>
  <c r="U207" i="2" s="1"/>
  <c r="O207" i="2"/>
  <c r="N207" i="2"/>
  <c r="AP206" i="2"/>
  <c r="AN206" i="2"/>
  <c r="AC206" i="2"/>
  <c r="AB206" i="2"/>
  <c r="S206" i="2"/>
  <c r="P206" i="2"/>
  <c r="U206" i="2" s="1"/>
  <c r="O206" i="2"/>
  <c r="N206" i="2"/>
  <c r="AP205" i="2"/>
  <c r="AC205" i="2"/>
  <c r="AB205" i="2"/>
  <c r="S205" i="2"/>
  <c r="P205" i="2"/>
  <c r="U205" i="2" s="1"/>
  <c r="O205" i="2"/>
  <c r="V205" i="2" s="1"/>
  <c r="N205" i="2"/>
  <c r="AP204" i="2"/>
  <c r="AN204" i="2"/>
  <c r="AH204" i="2"/>
  <c r="AC204" i="2"/>
  <c r="AB204" i="2"/>
  <c r="S204" i="2"/>
  <c r="O204" i="2"/>
  <c r="N204" i="2"/>
  <c r="AP203" i="2"/>
  <c r="AC203" i="2"/>
  <c r="AB203" i="2"/>
  <c r="V203" i="2"/>
  <c r="S203" i="2"/>
  <c r="P203" i="2"/>
  <c r="U203" i="2" s="1"/>
  <c r="O203" i="2"/>
  <c r="N203" i="2"/>
  <c r="AP202" i="2"/>
  <c r="AH202" i="2"/>
  <c r="AF202" i="2"/>
  <c r="AC202" i="2"/>
  <c r="AB202" i="2"/>
  <c r="S202" i="2"/>
  <c r="P202" i="2"/>
  <c r="O202" i="2"/>
  <c r="V202" i="2" s="1"/>
  <c r="N202" i="2"/>
  <c r="AP201" i="2"/>
  <c r="AC201" i="2"/>
  <c r="AB201" i="2"/>
  <c r="S201" i="2"/>
  <c r="P201" i="2"/>
  <c r="U201" i="2" s="1"/>
  <c r="O201" i="2"/>
  <c r="N201" i="2"/>
  <c r="AP200" i="2"/>
  <c r="AN200" i="2"/>
  <c r="AF200" i="2"/>
  <c r="AC200" i="2"/>
  <c r="AB200" i="2"/>
  <c r="V200" i="2"/>
  <c r="S200" i="2"/>
  <c r="P200" i="2"/>
  <c r="U200" i="2" s="1"/>
  <c r="O200" i="2"/>
  <c r="N200" i="2"/>
  <c r="AP199" i="2"/>
  <c r="AH199" i="2"/>
  <c r="AG199" i="2"/>
  <c r="AF199" i="2"/>
  <c r="AC199" i="2"/>
  <c r="AB199" i="2"/>
  <c r="S199" i="2"/>
  <c r="O199" i="2"/>
  <c r="N199" i="2"/>
  <c r="AI199" i="2" s="1"/>
  <c r="AP198" i="2"/>
  <c r="AN198" i="2"/>
  <c r="AC198" i="2"/>
  <c r="AE198" i="2" s="1"/>
  <c r="AB198" i="2"/>
  <c r="AG198" i="2" s="1"/>
  <c r="V198" i="2"/>
  <c r="S198" i="2"/>
  <c r="P198" i="2"/>
  <c r="U198" i="2" s="1"/>
  <c r="O198" i="2"/>
  <c r="N198" i="2"/>
  <c r="AI198" i="2" s="1"/>
  <c r="AP197" i="2"/>
  <c r="AN197" i="2"/>
  <c r="AI197" i="2"/>
  <c r="AC197" i="2"/>
  <c r="AB197" i="2"/>
  <c r="S197" i="2"/>
  <c r="O197" i="2"/>
  <c r="N197" i="2"/>
  <c r="AP196" i="2"/>
  <c r="AC196" i="2"/>
  <c r="AB196" i="2"/>
  <c r="S196" i="2"/>
  <c r="P196" i="2"/>
  <c r="U196" i="2" s="1"/>
  <c r="O196" i="2"/>
  <c r="V196" i="2" s="1"/>
  <c r="N196" i="2"/>
  <c r="AI196" i="2" s="1"/>
  <c r="AP195" i="2"/>
  <c r="AC195" i="2"/>
  <c r="AB195" i="2"/>
  <c r="S195" i="2"/>
  <c r="P195" i="2"/>
  <c r="O195" i="2"/>
  <c r="N195" i="2"/>
  <c r="AP194" i="2"/>
  <c r="AN194" i="2"/>
  <c r="AC194" i="2"/>
  <c r="AB194" i="2"/>
  <c r="S194" i="2"/>
  <c r="O194" i="2"/>
  <c r="N194" i="2"/>
  <c r="AP193" i="2"/>
  <c r="AH193" i="2"/>
  <c r="AG193" i="2"/>
  <c r="AE193" i="2"/>
  <c r="AC193" i="2"/>
  <c r="AB193" i="2"/>
  <c r="V193" i="2"/>
  <c r="S193" i="2"/>
  <c r="O193" i="2"/>
  <c r="P193" i="2" s="1"/>
  <c r="U193" i="2" s="1"/>
  <c r="N193" i="2"/>
  <c r="AI193" i="2" s="1"/>
  <c r="AP192" i="2"/>
  <c r="AN192" i="2"/>
  <c r="AI192" i="2"/>
  <c r="AH192" i="2"/>
  <c r="AG192" i="2"/>
  <c r="AF192" i="2"/>
  <c r="AC192" i="2"/>
  <c r="AB192" i="2"/>
  <c r="V192" i="2"/>
  <c r="S192" i="2"/>
  <c r="P192" i="2"/>
  <c r="U192" i="2" s="1"/>
  <c r="O192" i="2"/>
  <c r="N192" i="2"/>
  <c r="AE192" i="2" s="1"/>
  <c r="AP191" i="2"/>
  <c r="AC191" i="2"/>
  <c r="AB191" i="2"/>
  <c r="AG191" i="2" s="1"/>
  <c r="V191" i="2"/>
  <c r="S191" i="2"/>
  <c r="P191" i="2"/>
  <c r="O191" i="2"/>
  <c r="N191" i="2"/>
  <c r="AI191" i="2" s="1"/>
  <c r="AP190" i="2"/>
  <c r="AN190" i="2"/>
  <c r="AC190" i="2"/>
  <c r="AB190" i="2"/>
  <c r="S190" i="2"/>
  <c r="P190" i="2"/>
  <c r="U190" i="2" s="1"/>
  <c r="O190" i="2"/>
  <c r="V190" i="2" s="1"/>
  <c r="N190" i="2"/>
  <c r="AP189" i="2"/>
  <c r="AC189" i="2"/>
  <c r="AB189" i="2"/>
  <c r="S189" i="2"/>
  <c r="P189" i="2"/>
  <c r="U189" i="2" s="1"/>
  <c r="O189" i="2"/>
  <c r="V189" i="2" s="1"/>
  <c r="N189" i="2"/>
  <c r="AP188" i="2"/>
  <c r="AN188" i="2"/>
  <c r="AC188" i="2"/>
  <c r="AB188" i="2"/>
  <c r="S188" i="2"/>
  <c r="O188" i="2"/>
  <c r="N188" i="2"/>
  <c r="AP187" i="2"/>
  <c r="AN187" i="2"/>
  <c r="AC187" i="2"/>
  <c r="AB187" i="2"/>
  <c r="S187" i="2"/>
  <c r="O187" i="2"/>
  <c r="N187" i="2"/>
  <c r="AP186" i="2"/>
  <c r="AC186" i="2"/>
  <c r="AB186" i="2"/>
  <c r="S186" i="2"/>
  <c r="P186" i="2"/>
  <c r="O186" i="2"/>
  <c r="V186" i="2" s="1"/>
  <c r="N186" i="2"/>
  <c r="AP185" i="2"/>
  <c r="AN185" i="2"/>
  <c r="AC185" i="2"/>
  <c r="AB185" i="2"/>
  <c r="U185" i="2"/>
  <c r="S185" i="2"/>
  <c r="P185" i="2"/>
  <c r="O185" i="2"/>
  <c r="N185" i="2"/>
  <c r="AP184" i="2"/>
  <c r="AG184" i="2"/>
  <c r="AF184" i="2"/>
  <c r="AC184" i="2"/>
  <c r="AE184" i="2" s="1"/>
  <c r="AB184" i="2"/>
  <c r="V184" i="2"/>
  <c r="S184" i="2"/>
  <c r="P184" i="2"/>
  <c r="U184" i="2" s="1"/>
  <c r="O184" i="2"/>
  <c r="N184" i="2"/>
  <c r="AP183" i="2"/>
  <c r="AH183" i="2"/>
  <c r="AG183" i="2"/>
  <c r="AC183" i="2"/>
  <c r="AB183" i="2"/>
  <c r="S183" i="2"/>
  <c r="O183" i="2"/>
  <c r="N183" i="2"/>
  <c r="AP182" i="2"/>
  <c r="AN182" i="2"/>
  <c r="AC182" i="2"/>
  <c r="AE182" i="2" s="1"/>
  <c r="AB182" i="2"/>
  <c r="V182" i="2"/>
  <c r="S182" i="2"/>
  <c r="P182" i="2"/>
  <c r="U182" i="2" s="1"/>
  <c r="O182" i="2"/>
  <c r="N182" i="2"/>
  <c r="AP181" i="2"/>
  <c r="AC181" i="2"/>
  <c r="AB181" i="2"/>
  <c r="S181" i="2"/>
  <c r="P181" i="2"/>
  <c r="U181" i="2" s="1"/>
  <c r="AO181" i="2" s="1"/>
  <c r="O181" i="2"/>
  <c r="N181" i="2"/>
  <c r="AP180" i="2"/>
  <c r="AN180" i="2"/>
  <c r="AC180" i="2"/>
  <c r="AB180" i="2"/>
  <c r="S180" i="2"/>
  <c r="O180" i="2"/>
  <c r="V180" i="2" s="1"/>
  <c r="N180" i="2"/>
  <c r="AI180" i="2" s="1"/>
  <c r="AP179" i="2"/>
  <c r="AI179" i="2"/>
  <c r="AG179" i="2"/>
  <c r="AC179" i="2"/>
  <c r="AB179" i="2"/>
  <c r="S179" i="2"/>
  <c r="O179" i="2"/>
  <c r="V179" i="2" s="1"/>
  <c r="N179" i="2"/>
  <c r="AP178" i="2"/>
  <c r="AI178" i="2"/>
  <c r="AC178" i="2"/>
  <c r="AB178" i="2"/>
  <c r="S178" i="2"/>
  <c r="O178" i="2"/>
  <c r="N178" i="2"/>
  <c r="AP177" i="2"/>
  <c r="AH177" i="2"/>
  <c r="AG177" i="2"/>
  <c r="AE177" i="2"/>
  <c r="AC177" i="2"/>
  <c r="AB177" i="2"/>
  <c r="V177" i="2"/>
  <c r="S177" i="2"/>
  <c r="P177" i="2"/>
  <c r="O177" i="2"/>
  <c r="N177" i="2"/>
  <c r="AI177" i="2" s="1"/>
  <c r="AP176" i="2"/>
  <c r="AI176" i="2"/>
  <c r="AH176" i="2"/>
  <c r="AG176" i="2"/>
  <c r="AF176" i="2"/>
  <c r="AC176" i="2"/>
  <c r="AB176" i="2"/>
  <c r="V176" i="2"/>
  <c r="S176" i="2"/>
  <c r="P176" i="2"/>
  <c r="U176" i="2" s="1"/>
  <c r="O176" i="2"/>
  <c r="N176" i="2"/>
  <c r="AE176" i="2" s="1"/>
  <c r="AP175" i="2"/>
  <c r="AN175" i="2"/>
  <c r="AC175" i="2"/>
  <c r="AB175" i="2"/>
  <c r="AG175" i="2" s="1"/>
  <c r="V175" i="2"/>
  <c r="S175" i="2"/>
  <c r="O175" i="2"/>
  <c r="P175" i="2" s="1"/>
  <c r="U175" i="2" s="1"/>
  <c r="AO175" i="2" s="1"/>
  <c r="N175" i="2"/>
  <c r="AI175" i="2" s="1"/>
  <c r="AP174" i="2"/>
  <c r="AN174" i="2"/>
  <c r="AC174" i="2"/>
  <c r="AB174" i="2"/>
  <c r="S174" i="2"/>
  <c r="P174" i="2"/>
  <c r="U174" i="2" s="1"/>
  <c r="AO174" i="2" s="1"/>
  <c r="O174" i="2"/>
  <c r="N174" i="2"/>
  <c r="AP173" i="2"/>
  <c r="AC173" i="2"/>
  <c r="AB173" i="2"/>
  <c r="S173" i="2"/>
  <c r="P173" i="2"/>
  <c r="U173" i="2" s="1"/>
  <c r="AO173" i="2" s="1"/>
  <c r="O173" i="2"/>
  <c r="V173" i="2" s="1"/>
  <c r="N173" i="2"/>
  <c r="AI173" i="2" s="1"/>
  <c r="AP172" i="2"/>
  <c r="AH172" i="2"/>
  <c r="AE172" i="2"/>
  <c r="AC172" i="2"/>
  <c r="AB172" i="2"/>
  <c r="S172" i="2"/>
  <c r="O172" i="2"/>
  <c r="N172" i="2"/>
  <c r="AP171" i="2"/>
  <c r="AN171" i="2"/>
  <c r="AC171" i="2"/>
  <c r="AB171" i="2"/>
  <c r="S171" i="2"/>
  <c r="O171" i="2"/>
  <c r="V171" i="2" s="1"/>
  <c r="N171" i="2"/>
  <c r="AI171" i="2" s="1"/>
  <c r="AP170" i="2"/>
  <c r="AH170" i="2"/>
  <c r="AF170" i="2"/>
  <c r="AC170" i="2"/>
  <c r="AB170" i="2"/>
  <c r="S170" i="2"/>
  <c r="P170" i="2"/>
  <c r="O170" i="2"/>
  <c r="V170" i="2" s="1"/>
  <c r="N170" i="2"/>
  <c r="AP169" i="2"/>
  <c r="AN169" i="2"/>
  <c r="AH169" i="2"/>
  <c r="AC169" i="2"/>
  <c r="AB169" i="2"/>
  <c r="V169" i="2"/>
  <c r="S169" i="2"/>
  <c r="P169" i="2"/>
  <c r="U169" i="2" s="1"/>
  <c r="AO169" i="2" s="1"/>
  <c r="O169" i="2"/>
  <c r="N169" i="2"/>
  <c r="AI169" i="2" s="1"/>
  <c r="AP168" i="2"/>
  <c r="AG168" i="2"/>
  <c r="AE168" i="2"/>
  <c r="AC168" i="2"/>
  <c r="AF168" i="2" s="1"/>
  <c r="AB168" i="2"/>
  <c r="V168" i="2"/>
  <c r="S168" i="2"/>
  <c r="P168" i="2"/>
  <c r="U168" i="2" s="1"/>
  <c r="AO168" i="2" s="1"/>
  <c r="O168" i="2"/>
  <c r="N168" i="2"/>
  <c r="AI168" i="2" s="1"/>
  <c r="AP167" i="2"/>
  <c r="AN167" i="2"/>
  <c r="AF167" i="2"/>
  <c r="AE167" i="2"/>
  <c r="AC167" i="2"/>
  <c r="AB167" i="2"/>
  <c r="AH167" i="2" s="1"/>
  <c r="S167" i="2"/>
  <c r="P167" i="2"/>
  <c r="U167" i="2" s="1"/>
  <c r="AO167" i="2" s="1"/>
  <c r="O167" i="2"/>
  <c r="V167" i="2" s="1"/>
  <c r="N167" i="2"/>
  <c r="AP166" i="2"/>
  <c r="AI166" i="2"/>
  <c r="AC166" i="2"/>
  <c r="AB166" i="2"/>
  <c r="S166" i="2"/>
  <c r="O166" i="2"/>
  <c r="N166" i="2"/>
  <c r="AP165" i="2"/>
  <c r="AC165" i="2"/>
  <c r="AB165" i="2"/>
  <c r="S165" i="2"/>
  <c r="W165" i="2" s="1"/>
  <c r="X165" i="2" s="1"/>
  <c r="O165" i="2"/>
  <c r="P165" i="2" s="1"/>
  <c r="U165" i="2" s="1"/>
  <c r="AO165" i="2" s="1"/>
  <c r="N165" i="2"/>
  <c r="V165" i="2" s="1"/>
  <c r="AP164" i="2"/>
  <c r="AN164" i="2"/>
  <c r="AI164" i="2"/>
  <c r="AH164" i="2"/>
  <c r="AG164" i="2"/>
  <c r="AF164" i="2"/>
  <c r="AC164" i="2"/>
  <c r="AB164" i="2"/>
  <c r="S164" i="2"/>
  <c r="P164" i="2"/>
  <c r="U164" i="2" s="1"/>
  <c r="AO164" i="2" s="1"/>
  <c r="O164" i="2"/>
  <c r="V164" i="2" s="1"/>
  <c r="N164" i="2"/>
  <c r="AE164" i="2" s="1"/>
  <c r="AP163" i="2"/>
  <c r="AH163" i="2"/>
  <c r="AE163" i="2"/>
  <c r="AC163" i="2"/>
  <c r="AB163" i="2"/>
  <c r="AI163" i="2" s="1"/>
  <c r="V163" i="2"/>
  <c r="S163" i="2"/>
  <c r="P163" i="2"/>
  <c r="U163" i="2" s="1"/>
  <c r="AO163" i="2" s="1"/>
  <c r="O163" i="2"/>
  <c r="N163" i="2"/>
  <c r="AF163" i="2" s="1"/>
  <c r="AP162" i="2"/>
  <c r="AG162" i="2"/>
  <c r="AF162" i="2"/>
  <c r="AE162" i="2"/>
  <c r="AC162" i="2"/>
  <c r="AB162" i="2"/>
  <c r="V162" i="2"/>
  <c r="S162" i="2"/>
  <c r="P162" i="2"/>
  <c r="U162" i="2" s="1"/>
  <c r="AO162" i="2" s="1"/>
  <c r="O162" i="2"/>
  <c r="N162" i="2"/>
  <c r="AI162" i="2" s="1"/>
  <c r="AP161" i="2"/>
  <c r="AN161" i="2"/>
  <c r="AF161" i="2"/>
  <c r="AC161" i="2"/>
  <c r="AB161" i="2"/>
  <c r="AG161" i="2" s="1"/>
  <c r="S161" i="2"/>
  <c r="P161" i="2"/>
  <c r="U161" i="2" s="1"/>
  <c r="AO161" i="2" s="1"/>
  <c r="O161" i="2"/>
  <c r="V161" i="2" s="1"/>
  <c r="N161" i="2"/>
  <c r="AI161" i="2" s="1"/>
  <c r="AP160" i="2"/>
  <c r="AN160" i="2"/>
  <c r="AE160" i="2"/>
  <c r="AC160" i="2"/>
  <c r="AB160" i="2"/>
  <c r="S160" i="2"/>
  <c r="P160" i="2"/>
  <c r="O160" i="2"/>
  <c r="N160" i="2"/>
  <c r="V160" i="2" s="1"/>
  <c r="AP159" i="2"/>
  <c r="AC159" i="2"/>
  <c r="AB159" i="2"/>
  <c r="S159" i="2"/>
  <c r="O159" i="2"/>
  <c r="N159" i="2"/>
  <c r="AP158" i="2"/>
  <c r="AC158" i="2"/>
  <c r="AB158" i="2"/>
  <c r="S158" i="2"/>
  <c r="O158" i="2"/>
  <c r="V158" i="2" s="1"/>
  <c r="N158" i="2"/>
  <c r="AI158" i="2" s="1"/>
  <c r="AP157" i="2"/>
  <c r="AN157" i="2"/>
  <c r="AC157" i="2"/>
  <c r="AB157" i="2"/>
  <c r="S157" i="2"/>
  <c r="P157" i="2"/>
  <c r="U157" i="2" s="1"/>
  <c r="AO157" i="2" s="1"/>
  <c r="O157" i="2"/>
  <c r="N157" i="2"/>
  <c r="AI157" i="2" s="1"/>
  <c r="AP156" i="2"/>
  <c r="AI156" i="2"/>
  <c r="AF156" i="2"/>
  <c r="AC156" i="2"/>
  <c r="AB156" i="2"/>
  <c r="V156" i="2"/>
  <c r="S156" i="2"/>
  <c r="O156" i="2"/>
  <c r="P156" i="2" s="1"/>
  <c r="U156" i="2" s="1"/>
  <c r="AO156" i="2" s="1"/>
  <c r="N156" i="2"/>
  <c r="AH156" i="2" s="1"/>
  <c r="AP155" i="2"/>
  <c r="AH155" i="2"/>
  <c r="AG155" i="2"/>
  <c r="AF155" i="2"/>
  <c r="AE155" i="2"/>
  <c r="AC155" i="2"/>
  <c r="AB155" i="2"/>
  <c r="S155" i="2"/>
  <c r="O155" i="2"/>
  <c r="V155" i="2" s="1"/>
  <c r="N155" i="2"/>
  <c r="AI155" i="2" s="1"/>
  <c r="AP154" i="2"/>
  <c r="AG154" i="2"/>
  <c r="AC154" i="2"/>
  <c r="AH154" i="2" s="1"/>
  <c r="AB154" i="2"/>
  <c r="AI154" i="2" s="1"/>
  <c r="V154" i="2"/>
  <c r="S154" i="2"/>
  <c r="P154" i="2"/>
  <c r="U154" i="2" s="1"/>
  <c r="AO154" i="2" s="1"/>
  <c r="O154" i="2"/>
  <c r="N154" i="2"/>
  <c r="AP153" i="2"/>
  <c r="AF153" i="2"/>
  <c r="AE153" i="2"/>
  <c r="AC153" i="2"/>
  <c r="AB153" i="2"/>
  <c r="AI153" i="2" s="1"/>
  <c r="S153" i="2"/>
  <c r="O153" i="2"/>
  <c r="V153" i="2" s="1"/>
  <c r="N153" i="2"/>
  <c r="AP152" i="2"/>
  <c r="AN152" i="2"/>
  <c r="AC152" i="2"/>
  <c r="AB152" i="2"/>
  <c r="S152" i="2"/>
  <c r="O152" i="2"/>
  <c r="N152" i="2"/>
  <c r="AI152" i="2" s="1"/>
  <c r="AP151" i="2"/>
  <c r="AC151" i="2"/>
  <c r="AB151" i="2"/>
  <c r="S151" i="2"/>
  <c r="P151" i="2"/>
  <c r="U151" i="2" s="1"/>
  <c r="O151" i="2"/>
  <c r="V151" i="2" s="1"/>
  <c r="N151" i="2"/>
  <c r="AP150" i="2"/>
  <c r="AC150" i="2"/>
  <c r="AB150" i="2"/>
  <c r="S150" i="2"/>
  <c r="O150" i="2"/>
  <c r="N150" i="2"/>
  <c r="AP149" i="2"/>
  <c r="AC149" i="2"/>
  <c r="AB149" i="2"/>
  <c r="S149" i="2"/>
  <c r="O149" i="2"/>
  <c r="P149" i="2" s="1"/>
  <c r="U149" i="2" s="1"/>
  <c r="N149" i="2"/>
  <c r="AP148" i="2"/>
  <c r="AN148" i="2"/>
  <c r="AI148" i="2"/>
  <c r="AH148" i="2"/>
  <c r="AG148" i="2"/>
  <c r="AF148" i="2"/>
  <c r="AC148" i="2"/>
  <c r="AB148" i="2"/>
  <c r="S148" i="2"/>
  <c r="P148" i="2"/>
  <c r="U148" i="2" s="1"/>
  <c r="O148" i="2"/>
  <c r="V148" i="2" s="1"/>
  <c r="N148" i="2"/>
  <c r="AE148" i="2" s="1"/>
  <c r="AP147" i="2"/>
  <c r="AH147" i="2"/>
  <c r="AE147" i="2"/>
  <c r="AC147" i="2"/>
  <c r="AB147" i="2"/>
  <c r="AI147" i="2" s="1"/>
  <c r="V147" i="2"/>
  <c r="S147" i="2"/>
  <c r="P147" i="2"/>
  <c r="U147" i="2" s="1"/>
  <c r="O147" i="2"/>
  <c r="N147" i="2"/>
  <c r="AF147" i="2" s="1"/>
  <c r="AP146" i="2"/>
  <c r="AN146" i="2"/>
  <c r="AG146" i="2"/>
  <c r="AF146" i="2"/>
  <c r="AE146" i="2"/>
  <c r="AC146" i="2"/>
  <c r="AB146" i="2"/>
  <c r="V146" i="2"/>
  <c r="S146" i="2"/>
  <c r="P146" i="2"/>
  <c r="U146" i="2" s="1"/>
  <c r="O146" i="2"/>
  <c r="N146" i="2"/>
  <c r="AI146" i="2" s="1"/>
  <c r="AP145" i="2"/>
  <c r="AF145" i="2"/>
  <c r="AC145" i="2"/>
  <c r="AB145" i="2"/>
  <c r="AG145" i="2" s="1"/>
  <c r="S145" i="2"/>
  <c r="P145" i="2"/>
  <c r="U145" i="2" s="1"/>
  <c r="O145" i="2"/>
  <c r="V145" i="2" s="1"/>
  <c r="N145" i="2"/>
  <c r="AI145" i="2" s="1"/>
  <c r="AP144" i="2"/>
  <c r="AN144" i="2"/>
  <c r="AC144" i="2"/>
  <c r="AB144" i="2"/>
  <c r="S144" i="2"/>
  <c r="P144" i="2"/>
  <c r="O144" i="2"/>
  <c r="V144" i="2" s="1"/>
  <c r="N144" i="2"/>
  <c r="AP143" i="2"/>
  <c r="AN143" i="2"/>
  <c r="AC143" i="2"/>
  <c r="AB143" i="2"/>
  <c r="S143" i="2"/>
  <c r="P143" i="2"/>
  <c r="U143" i="2" s="1"/>
  <c r="AO143" i="2" s="1"/>
  <c r="O143" i="2"/>
  <c r="V143" i="2" s="1"/>
  <c r="N143" i="2"/>
  <c r="AP142" i="2"/>
  <c r="AC142" i="2"/>
  <c r="AB142" i="2"/>
  <c r="S142" i="2"/>
  <c r="O142" i="2"/>
  <c r="N142" i="2"/>
  <c r="AP141" i="2"/>
  <c r="AN141" i="2"/>
  <c r="AH141" i="2"/>
  <c r="AC141" i="2"/>
  <c r="AB141" i="2"/>
  <c r="S141" i="2"/>
  <c r="P141" i="2"/>
  <c r="U141" i="2" s="1"/>
  <c r="O141" i="2"/>
  <c r="N141" i="2"/>
  <c r="AI141" i="2" s="1"/>
  <c r="AP140" i="2"/>
  <c r="AN140" i="2"/>
  <c r="AI140" i="2"/>
  <c r="AF140" i="2"/>
  <c r="AC140" i="2"/>
  <c r="AB140" i="2"/>
  <c r="V140" i="2"/>
  <c r="S140" i="2"/>
  <c r="P140" i="2"/>
  <c r="U140" i="2" s="1"/>
  <c r="O140" i="2"/>
  <c r="N140" i="2"/>
  <c r="AH140" i="2" s="1"/>
  <c r="AP139" i="2"/>
  <c r="AN139" i="2"/>
  <c r="AH139" i="2"/>
  <c r="AG139" i="2"/>
  <c r="AF139" i="2"/>
  <c r="AE139" i="2"/>
  <c r="AC139" i="2"/>
  <c r="AB139" i="2"/>
  <c r="S139" i="2"/>
  <c r="O139" i="2"/>
  <c r="V139" i="2" s="1"/>
  <c r="N139" i="2"/>
  <c r="AI139" i="2" s="1"/>
  <c r="AP138" i="2"/>
  <c r="AN138" i="2"/>
  <c r="AG138" i="2"/>
  <c r="AC138" i="2"/>
  <c r="AH138" i="2" s="1"/>
  <c r="AB138" i="2"/>
  <c r="V138" i="2"/>
  <c r="S138" i="2"/>
  <c r="P138" i="2"/>
  <c r="U138" i="2" s="1"/>
  <c r="O138" i="2"/>
  <c r="N138" i="2"/>
  <c r="AI138" i="2" s="1"/>
  <c r="AP137" i="2"/>
  <c r="AC137" i="2"/>
  <c r="AF137" i="2" s="1"/>
  <c r="AB137" i="2"/>
  <c r="AI137" i="2" s="1"/>
  <c r="S137" i="2"/>
  <c r="O137" i="2"/>
  <c r="V137" i="2" s="1"/>
  <c r="N137" i="2"/>
  <c r="AP136" i="2"/>
  <c r="AN136" i="2"/>
  <c r="AC136" i="2"/>
  <c r="AB136" i="2"/>
  <c r="S136" i="2"/>
  <c r="O136" i="2"/>
  <c r="V136" i="2" s="1"/>
  <c r="N136" i="2"/>
  <c r="AI136" i="2" s="1"/>
  <c r="AP135" i="2"/>
  <c r="AC135" i="2"/>
  <c r="AB135" i="2"/>
  <c r="S135" i="2"/>
  <c r="P135" i="2"/>
  <c r="O135" i="2"/>
  <c r="V135" i="2" s="1"/>
  <c r="N135" i="2"/>
  <c r="AH135" i="2" s="1"/>
  <c r="AP134" i="2"/>
  <c r="AN134" i="2"/>
  <c r="AC134" i="2"/>
  <c r="AB134" i="2"/>
  <c r="AI134" i="2" s="1"/>
  <c r="S134" i="2"/>
  <c r="O134" i="2"/>
  <c r="N134" i="2"/>
  <c r="AP133" i="2"/>
  <c r="AC133" i="2"/>
  <c r="AB133" i="2"/>
  <c r="S133" i="2"/>
  <c r="O133" i="2"/>
  <c r="P133" i="2" s="1"/>
  <c r="U133" i="2" s="1"/>
  <c r="N133" i="2"/>
  <c r="AP132" i="2"/>
  <c r="AN132" i="2"/>
  <c r="AI132" i="2"/>
  <c r="AH132" i="2"/>
  <c r="AG132" i="2"/>
  <c r="AF132" i="2"/>
  <c r="AC132" i="2"/>
  <c r="AB132" i="2"/>
  <c r="S132" i="2"/>
  <c r="P132" i="2"/>
  <c r="U132" i="2" s="1"/>
  <c r="AO132" i="2" s="1"/>
  <c r="O132" i="2"/>
  <c r="V132" i="2" s="1"/>
  <c r="N132" i="2"/>
  <c r="AE132" i="2" s="1"/>
  <c r="AP131" i="2"/>
  <c r="AN131" i="2"/>
  <c r="AH131" i="2"/>
  <c r="AE131" i="2"/>
  <c r="AC131" i="2"/>
  <c r="AB131" i="2"/>
  <c r="AI131" i="2" s="1"/>
  <c r="V131" i="2"/>
  <c r="S131" i="2"/>
  <c r="P131" i="2"/>
  <c r="U131" i="2" s="1"/>
  <c r="AO131" i="2" s="1"/>
  <c r="O131" i="2"/>
  <c r="N131" i="2"/>
  <c r="AF131" i="2" s="1"/>
  <c r="AP130" i="2"/>
  <c r="AN130" i="2"/>
  <c r="AG130" i="2"/>
  <c r="AF130" i="2"/>
  <c r="AE130" i="2"/>
  <c r="AC130" i="2"/>
  <c r="AB130" i="2"/>
  <c r="V130" i="2"/>
  <c r="S130" i="2"/>
  <c r="P130" i="2"/>
  <c r="U130" i="2" s="1"/>
  <c r="AO130" i="2" s="1"/>
  <c r="O130" i="2"/>
  <c r="N130" i="2"/>
  <c r="AI130" i="2" s="1"/>
  <c r="AP129" i="2"/>
  <c r="AC129" i="2"/>
  <c r="AB129" i="2"/>
  <c r="AG129" i="2" s="1"/>
  <c r="S129" i="2"/>
  <c r="O129" i="2"/>
  <c r="V129" i="2" s="1"/>
  <c r="N129" i="2"/>
  <c r="AP128" i="2"/>
  <c r="AC128" i="2"/>
  <c r="AB128" i="2"/>
  <c r="AE128" i="2" s="1"/>
  <c r="S128" i="2"/>
  <c r="O128" i="2"/>
  <c r="V128" i="2" s="1"/>
  <c r="N128" i="2"/>
  <c r="AP127" i="2"/>
  <c r="AN127" i="2"/>
  <c r="AC127" i="2"/>
  <c r="AB127" i="2"/>
  <c r="S127" i="2"/>
  <c r="O127" i="2"/>
  <c r="N127" i="2"/>
  <c r="AP126" i="2"/>
  <c r="AC126" i="2"/>
  <c r="AB126" i="2"/>
  <c r="S126" i="2"/>
  <c r="O126" i="2"/>
  <c r="N126" i="2"/>
  <c r="AI126" i="2" s="1"/>
  <c r="AP125" i="2"/>
  <c r="AN125" i="2"/>
  <c r="AC125" i="2"/>
  <c r="AB125" i="2"/>
  <c r="S125" i="2"/>
  <c r="P125" i="2"/>
  <c r="U125" i="2" s="1"/>
  <c r="O125" i="2"/>
  <c r="N125" i="2"/>
  <c r="AP124" i="2"/>
  <c r="AI124" i="2"/>
  <c r="AF124" i="2"/>
  <c r="AC124" i="2"/>
  <c r="AB124" i="2"/>
  <c r="V124" i="2"/>
  <c r="S124" i="2"/>
  <c r="O124" i="2"/>
  <c r="P124" i="2" s="1"/>
  <c r="U124" i="2" s="1"/>
  <c r="N124" i="2"/>
  <c r="AH124" i="2" s="1"/>
  <c r="AP123" i="2"/>
  <c r="AH123" i="2"/>
  <c r="AG123" i="2"/>
  <c r="AF123" i="2"/>
  <c r="AE123" i="2"/>
  <c r="AC123" i="2"/>
  <c r="AB123" i="2"/>
  <c r="S123" i="2"/>
  <c r="O123" i="2"/>
  <c r="V123" i="2" s="1"/>
  <c r="N123" i="2"/>
  <c r="AI123" i="2" s="1"/>
  <c r="AP122" i="2"/>
  <c r="AN122" i="2"/>
  <c r="AG122" i="2"/>
  <c r="AC122" i="2"/>
  <c r="AH122" i="2" s="1"/>
  <c r="AB122" i="2"/>
  <c r="V122" i="2"/>
  <c r="S122" i="2"/>
  <c r="P122" i="2"/>
  <c r="U122" i="2" s="1"/>
  <c r="O122" i="2"/>
  <c r="N122" i="2"/>
  <c r="AI122" i="2" s="1"/>
  <c r="AP121" i="2"/>
  <c r="AE121" i="2"/>
  <c r="AC121" i="2"/>
  <c r="AF121" i="2" s="1"/>
  <c r="AB121" i="2"/>
  <c r="S121" i="2"/>
  <c r="O121" i="2"/>
  <c r="V121" i="2" s="1"/>
  <c r="N121" i="2"/>
  <c r="AP120" i="2"/>
  <c r="AC120" i="2"/>
  <c r="AB120" i="2"/>
  <c r="S120" i="2"/>
  <c r="P120" i="2"/>
  <c r="U120" i="2" s="1"/>
  <c r="O120" i="2"/>
  <c r="V120" i="2" s="1"/>
  <c r="N120" i="2"/>
  <c r="AP119" i="2"/>
  <c r="AN119" i="2"/>
  <c r="AC119" i="2"/>
  <c r="AB119" i="2"/>
  <c r="S119" i="2"/>
  <c r="W119" i="2" s="1"/>
  <c r="X119" i="2" s="1"/>
  <c r="Y119" i="2" s="1"/>
  <c r="P119" i="2"/>
  <c r="O119" i="2"/>
  <c r="V119" i="2" s="1"/>
  <c r="N119" i="2"/>
  <c r="AH119" i="2" s="1"/>
  <c r="AP118" i="2"/>
  <c r="AC118" i="2"/>
  <c r="AB118" i="2"/>
  <c r="S118" i="2"/>
  <c r="O118" i="2"/>
  <c r="N118" i="2"/>
  <c r="AI118" i="2" s="1"/>
  <c r="AP117" i="2"/>
  <c r="AC117" i="2"/>
  <c r="AB117" i="2"/>
  <c r="S117" i="2"/>
  <c r="O117" i="2"/>
  <c r="P117" i="2" s="1"/>
  <c r="U117" i="2" s="1"/>
  <c r="N117" i="2"/>
  <c r="AP116" i="2"/>
  <c r="AI116" i="2"/>
  <c r="AH116" i="2"/>
  <c r="AG116" i="2"/>
  <c r="AF116" i="2"/>
  <c r="AC116" i="2"/>
  <c r="AB116" i="2"/>
  <c r="S116" i="2"/>
  <c r="P116" i="2"/>
  <c r="U116" i="2" s="1"/>
  <c r="O116" i="2"/>
  <c r="V116" i="2" s="1"/>
  <c r="N116" i="2"/>
  <c r="AE116" i="2" s="1"/>
  <c r="AP115" i="2"/>
  <c r="AN115" i="2"/>
  <c r="AH115" i="2"/>
  <c r="AE115" i="2"/>
  <c r="AC115" i="2"/>
  <c r="AB115" i="2"/>
  <c r="AI115" i="2" s="1"/>
  <c r="V115" i="2"/>
  <c r="S115" i="2"/>
  <c r="P115" i="2"/>
  <c r="U115" i="2" s="1"/>
  <c r="O115" i="2"/>
  <c r="N115" i="2"/>
  <c r="AF115" i="2" s="1"/>
  <c r="AP114" i="2"/>
  <c r="AC114" i="2"/>
  <c r="AG114" i="2" s="1"/>
  <c r="AB114" i="2"/>
  <c r="V114" i="2"/>
  <c r="S114" i="2"/>
  <c r="P114" i="2"/>
  <c r="U114" i="2" s="1"/>
  <c r="O114" i="2"/>
  <c r="N114" i="2"/>
  <c r="AP113" i="2"/>
  <c r="AF113" i="2"/>
  <c r="AC113" i="2"/>
  <c r="AB113" i="2"/>
  <c r="AG113" i="2" s="1"/>
  <c r="S113" i="2"/>
  <c r="O113" i="2"/>
  <c r="V113" i="2" s="1"/>
  <c r="N113" i="2"/>
  <c r="AI113" i="2" s="1"/>
  <c r="AP112" i="2"/>
  <c r="AN112" i="2"/>
  <c r="AC112" i="2"/>
  <c r="AB112" i="2"/>
  <c r="S112" i="2"/>
  <c r="P112" i="2"/>
  <c r="O112" i="2"/>
  <c r="V112" i="2" s="1"/>
  <c r="N112" i="2"/>
  <c r="AI112" i="2" s="1"/>
  <c r="AP111" i="2"/>
  <c r="AC111" i="2"/>
  <c r="AB111" i="2"/>
  <c r="S111" i="2"/>
  <c r="O111" i="2"/>
  <c r="N111" i="2"/>
  <c r="AP110" i="2"/>
  <c r="AC110" i="2"/>
  <c r="AB110" i="2"/>
  <c r="S110" i="2"/>
  <c r="O110" i="2"/>
  <c r="N110" i="2"/>
  <c r="AI110" i="2" s="1"/>
  <c r="AP109" i="2"/>
  <c r="AC109" i="2"/>
  <c r="AB109" i="2"/>
  <c r="S109" i="2"/>
  <c r="P109" i="2"/>
  <c r="U109" i="2" s="1"/>
  <c r="O109" i="2"/>
  <c r="N109" i="2"/>
  <c r="AP108" i="2"/>
  <c r="AN108" i="2"/>
  <c r="AI108" i="2"/>
  <c r="AF108" i="2"/>
  <c r="AC108" i="2"/>
  <c r="AB108" i="2"/>
  <c r="V108" i="2"/>
  <c r="S108" i="2"/>
  <c r="P108" i="2"/>
  <c r="U108" i="2" s="1"/>
  <c r="AO108" i="2" s="1"/>
  <c r="O108" i="2"/>
  <c r="N108" i="2"/>
  <c r="AH108" i="2" s="1"/>
  <c r="AP107" i="2"/>
  <c r="AH107" i="2"/>
  <c r="AG107" i="2"/>
  <c r="AF107" i="2"/>
  <c r="AE107" i="2"/>
  <c r="AC107" i="2"/>
  <c r="AB107" i="2"/>
  <c r="S107" i="2"/>
  <c r="O107" i="2"/>
  <c r="V107" i="2" s="1"/>
  <c r="N107" i="2"/>
  <c r="AI107" i="2" s="1"/>
  <c r="AP106" i="2"/>
  <c r="AG106" i="2"/>
  <c r="AC106" i="2"/>
  <c r="AH106" i="2" s="1"/>
  <c r="AB106" i="2"/>
  <c r="V106" i="2"/>
  <c r="S106" i="2"/>
  <c r="P106" i="2"/>
  <c r="U106" i="2" s="1"/>
  <c r="O106" i="2"/>
  <c r="N106" i="2"/>
  <c r="AI106" i="2" s="1"/>
  <c r="AP105" i="2"/>
  <c r="AF105" i="2"/>
  <c r="AE105" i="2"/>
  <c r="AC105" i="2"/>
  <c r="AB105" i="2"/>
  <c r="S105" i="2"/>
  <c r="O105" i="2"/>
  <c r="V105" i="2" s="1"/>
  <c r="N105" i="2"/>
  <c r="AP104" i="2"/>
  <c r="AN104" i="2"/>
  <c r="AC104" i="2"/>
  <c r="AB104" i="2"/>
  <c r="S104" i="2"/>
  <c r="P104" i="2"/>
  <c r="U104" i="2" s="1"/>
  <c r="AO104" i="2" s="1"/>
  <c r="O104" i="2"/>
  <c r="N104" i="2"/>
  <c r="AP103" i="2"/>
  <c r="AC103" i="2"/>
  <c r="AB103" i="2"/>
  <c r="S103" i="2"/>
  <c r="P103" i="2"/>
  <c r="O103" i="2"/>
  <c r="V103" i="2" s="1"/>
  <c r="N103" i="2"/>
  <c r="AH103" i="2" s="1"/>
  <c r="AP102" i="2"/>
  <c r="AC102" i="2"/>
  <c r="AB102" i="2"/>
  <c r="S102" i="2"/>
  <c r="O102" i="2"/>
  <c r="N102" i="2"/>
  <c r="AI102" i="2" s="1"/>
  <c r="AP101" i="2"/>
  <c r="AC101" i="2"/>
  <c r="AB101" i="2"/>
  <c r="S101" i="2"/>
  <c r="O101" i="2"/>
  <c r="P101" i="2" s="1"/>
  <c r="U101" i="2" s="1"/>
  <c r="AO101" i="2" s="1"/>
  <c r="N101" i="2"/>
  <c r="AP100" i="2"/>
  <c r="AN100" i="2"/>
  <c r="AI100" i="2"/>
  <c r="AH100" i="2"/>
  <c r="AG100" i="2"/>
  <c r="AF100" i="2"/>
  <c r="AC100" i="2"/>
  <c r="AB100" i="2"/>
  <c r="S100" i="2"/>
  <c r="P100" i="2"/>
  <c r="U100" i="2" s="1"/>
  <c r="O100" i="2"/>
  <c r="V100" i="2" s="1"/>
  <c r="N100" i="2"/>
  <c r="AE100" i="2" s="1"/>
  <c r="AP99" i="2"/>
  <c r="AH99" i="2"/>
  <c r="AE99" i="2"/>
  <c r="AC99" i="2"/>
  <c r="AB99" i="2"/>
  <c r="AI99" i="2" s="1"/>
  <c r="V99" i="2"/>
  <c r="S99" i="2"/>
  <c r="P99" i="2"/>
  <c r="U99" i="2" s="1"/>
  <c r="O99" i="2"/>
  <c r="N99" i="2"/>
  <c r="AF99" i="2" s="1"/>
  <c r="AP98" i="2"/>
  <c r="AN98" i="2"/>
  <c r="AG98" i="2"/>
  <c r="AF98" i="2"/>
  <c r="AC98" i="2"/>
  <c r="AE98" i="2" s="1"/>
  <c r="AB98" i="2"/>
  <c r="V98" i="2"/>
  <c r="S98" i="2"/>
  <c r="P98" i="2"/>
  <c r="U98" i="2" s="1"/>
  <c r="O98" i="2"/>
  <c r="N98" i="2"/>
  <c r="AI98" i="2" s="1"/>
  <c r="AP97" i="2"/>
  <c r="AF97" i="2"/>
  <c r="AC97" i="2"/>
  <c r="AB97" i="2"/>
  <c r="AG97" i="2" s="1"/>
  <c r="S97" i="2"/>
  <c r="P97" i="2"/>
  <c r="U97" i="2" s="1"/>
  <c r="O97" i="2"/>
  <c r="V97" i="2" s="1"/>
  <c r="N97" i="2"/>
  <c r="AI97" i="2" s="1"/>
  <c r="AP96" i="2"/>
  <c r="AN96" i="2"/>
  <c r="AE96" i="2"/>
  <c r="AC96" i="2"/>
  <c r="AB96" i="2"/>
  <c r="S96" i="2"/>
  <c r="P96" i="2"/>
  <c r="O96" i="2"/>
  <c r="V96" i="2" s="1"/>
  <c r="N96" i="2"/>
  <c r="AI96" i="2" s="1"/>
  <c r="AP95" i="2"/>
  <c r="AN95" i="2"/>
  <c r="AC95" i="2"/>
  <c r="AB95" i="2"/>
  <c r="S95" i="2"/>
  <c r="O95" i="2"/>
  <c r="V95" i="2" s="1"/>
  <c r="N95" i="2"/>
  <c r="AP94" i="2"/>
  <c r="AN94" i="2"/>
  <c r="AC94" i="2"/>
  <c r="AB94" i="2"/>
  <c r="S94" i="2"/>
  <c r="O94" i="2"/>
  <c r="N94" i="2"/>
  <c r="AI94" i="2" s="1"/>
  <c r="AP93" i="2"/>
  <c r="AN93" i="2"/>
  <c r="AI93" i="2"/>
  <c r="AG93" i="2"/>
  <c r="AC93" i="2"/>
  <c r="AB93" i="2"/>
  <c r="S93" i="2"/>
  <c r="P93" i="2"/>
  <c r="U93" i="2" s="1"/>
  <c r="O93" i="2"/>
  <c r="N93" i="2"/>
  <c r="AH93" i="2" s="1"/>
  <c r="AP92" i="2"/>
  <c r="AN92" i="2"/>
  <c r="AI92" i="2"/>
  <c r="AF92" i="2"/>
  <c r="AC92" i="2"/>
  <c r="AB92" i="2"/>
  <c r="V92" i="2"/>
  <c r="S92" i="2"/>
  <c r="P92" i="2"/>
  <c r="U92" i="2" s="1"/>
  <c r="O92" i="2"/>
  <c r="N92" i="2"/>
  <c r="AH92" i="2" s="1"/>
  <c r="AP91" i="2"/>
  <c r="AH91" i="2"/>
  <c r="AG91" i="2"/>
  <c r="AF91" i="2"/>
  <c r="AE91" i="2"/>
  <c r="AC91" i="2"/>
  <c r="AB91" i="2"/>
  <c r="S91" i="2"/>
  <c r="O91" i="2"/>
  <c r="V91" i="2" s="1"/>
  <c r="N91" i="2"/>
  <c r="AI91" i="2" s="1"/>
  <c r="AP90" i="2"/>
  <c r="AN90" i="2"/>
  <c r="AG90" i="2"/>
  <c r="AC90" i="2"/>
  <c r="AH90" i="2" s="1"/>
  <c r="AB90" i="2"/>
  <c r="V90" i="2"/>
  <c r="S90" i="2"/>
  <c r="P90" i="2"/>
  <c r="U90" i="2" s="1"/>
  <c r="O90" i="2"/>
  <c r="N90" i="2"/>
  <c r="AI90" i="2" s="1"/>
  <c r="AP89" i="2"/>
  <c r="AN89" i="2"/>
  <c r="AF89" i="2"/>
  <c r="AE89" i="2"/>
  <c r="AC89" i="2"/>
  <c r="AB89" i="2"/>
  <c r="S89" i="2"/>
  <c r="O89" i="2"/>
  <c r="N89" i="2"/>
  <c r="AP88" i="2"/>
  <c r="AN88" i="2"/>
  <c r="AC88" i="2"/>
  <c r="AB88" i="2"/>
  <c r="S88" i="2"/>
  <c r="O88" i="2"/>
  <c r="V88" i="2" s="1"/>
  <c r="N88" i="2"/>
  <c r="AE88" i="2" s="1"/>
  <c r="AP87" i="2"/>
  <c r="AN87" i="2"/>
  <c r="AI87" i="2"/>
  <c r="AC87" i="2"/>
  <c r="AB87" i="2"/>
  <c r="S87" i="2"/>
  <c r="P87" i="2"/>
  <c r="U87" i="2" s="1"/>
  <c r="O87" i="2"/>
  <c r="V87" i="2" s="1"/>
  <c r="N87" i="2"/>
  <c r="AH87" i="2" s="1"/>
  <c r="AP86" i="2"/>
  <c r="AH86" i="2"/>
  <c r="AC86" i="2"/>
  <c r="AB86" i="2"/>
  <c r="S86" i="2"/>
  <c r="O86" i="2"/>
  <c r="N86" i="2"/>
  <c r="AP85" i="2"/>
  <c r="AN85" i="2"/>
  <c r="AG85" i="2"/>
  <c r="AC85" i="2"/>
  <c r="AB85" i="2"/>
  <c r="S85" i="2"/>
  <c r="O85" i="2"/>
  <c r="P85" i="2" s="1"/>
  <c r="U85" i="2" s="1"/>
  <c r="N85" i="2"/>
  <c r="AP84" i="2"/>
  <c r="AN84" i="2"/>
  <c r="AI84" i="2"/>
  <c r="AH84" i="2"/>
  <c r="AG84" i="2"/>
  <c r="AF84" i="2"/>
  <c r="AE84" i="2"/>
  <c r="AC84" i="2"/>
  <c r="AB84" i="2"/>
  <c r="S84" i="2"/>
  <c r="P84" i="2"/>
  <c r="U84" i="2" s="1"/>
  <c r="O84" i="2"/>
  <c r="V84" i="2" s="1"/>
  <c r="N84" i="2"/>
  <c r="AP83" i="2"/>
  <c r="AH83" i="2"/>
  <c r="AE83" i="2"/>
  <c r="AC83" i="2"/>
  <c r="AB83" i="2"/>
  <c r="AI83" i="2" s="1"/>
  <c r="V83" i="2"/>
  <c r="S83" i="2"/>
  <c r="P83" i="2"/>
  <c r="U83" i="2" s="1"/>
  <c r="O83" i="2"/>
  <c r="N83" i="2"/>
  <c r="AF83" i="2" s="1"/>
  <c r="AP82" i="2"/>
  <c r="AN82" i="2"/>
  <c r="AC82" i="2"/>
  <c r="AG82" i="2" s="1"/>
  <c r="AB82" i="2"/>
  <c r="V82" i="2"/>
  <c r="S82" i="2"/>
  <c r="P82" i="2"/>
  <c r="U82" i="2" s="1"/>
  <c r="O82" i="2"/>
  <c r="N82" i="2"/>
  <c r="AI82" i="2" s="1"/>
  <c r="AP81" i="2"/>
  <c r="AN81" i="2"/>
  <c r="AF81" i="2"/>
  <c r="AC81" i="2"/>
  <c r="AB81" i="2"/>
  <c r="AG81" i="2" s="1"/>
  <c r="S81" i="2"/>
  <c r="P81" i="2"/>
  <c r="U81" i="2" s="1"/>
  <c r="O81" i="2"/>
  <c r="V81" i="2" s="1"/>
  <c r="N81" i="2"/>
  <c r="AP80" i="2"/>
  <c r="AN80" i="2"/>
  <c r="AC80" i="2"/>
  <c r="AB80" i="2"/>
  <c r="S80" i="2"/>
  <c r="O80" i="2"/>
  <c r="N80" i="2"/>
  <c r="AP79" i="2"/>
  <c r="AN79" i="2"/>
  <c r="AC79" i="2"/>
  <c r="AB79" i="2"/>
  <c r="S79" i="2"/>
  <c r="O79" i="2"/>
  <c r="V79" i="2" s="1"/>
  <c r="N79" i="2"/>
  <c r="AP78" i="2"/>
  <c r="AN78" i="2"/>
  <c r="AC78" i="2"/>
  <c r="AB78" i="2"/>
  <c r="AH78" i="2" s="1"/>
  <c r="S78" i="2"/>
  <c r="O78" i="2"/>
  <c r="N78" i="2"/>
  <c r="AP77" i="2"/>
  <c r="AN77" i="2"/>
  <c r="AI77" i="2"/>
  <c r="AC77" i="2"/>
  <c r="AB77" i="2"/>
  <c r="S77" i="2"/>
  <c r="P77" i="2"/>
  <c r="O77" i="2"/>
  <c r="N77" i="2"/>
  <c r="AH77" i="2" s="1"/>
  <c r="AP76" i="2"/>
  <c r="AN76" i="2"/>
  <c r="AI76" i="2"/>
  <c r="AF76" i="2"/>
  <c r="AC76" i="2"/>
  <c r="AB76" i="2"/>
  <c r="V76" i="2"/>
  <c r="S76" i="2"/>
  <c r="P76" i="2"/>
  <c r="U76" i="2" s="1"/>
  <c r="O76" i="2"/>
  <c r="N76" i="2"/>
  <c r="AH76" i="2" s="1"/>
  <c r="AP75" i="2"/>
  <c r="AN75" i="2"/>
  <c r="AH75" i="2"/>
  <c r="AG75" i="2"/>
  <c r="AF75" i="2"/>
  <c r="AE75" i="2"/>
  <c r="AC75" i="2"/>
  <c r="AB75" i="2"/>
  <c r="S75" i="2"/>
  <c r="O75" i="2"/>
  <c r="V75" i="2" s="1"/>
  <c r="N75" i="2"/>
  <c r="AI75" i="2" s="1"/>
  <c r="AP74" i="2"/>
  <c r="AN74" i="2"/>
  <c r="AC74" i="2"/>
  <c r="AH74" i="2" s="1"/>
  <c r="AB74" i="2"/>
  <c r="V74" i="2"/>
  <c r="S74" i="2"/>
  <c r="P74" i="2"/>
  <c r="U74" i="2" s="1"/>
  <c r="O74" i="2"/>
  <c r="N74" i="2"/>
  <c r="AI74" i="2" s="1"/>
  <c r="AP73" i="2"/>
  <c r="AC73" i="2"/>
  <c r="AB73" i="2"/>
  <c r="S73" i="2"/>
  <c r="O73" i="2"/>
  <c r="N73" i="2"/>
  <c r="AP72" i="2"/>
  <c r="AN72" i="2"/>
  <c r="AC72" i="2"/>
  <c r="AB72" i="2"/>
  <c r="S72" i="2"/>
  <c r="O72" i="2"/>
  <c r="N72" i="2"/>
  <c r="AP71" i="2"/>
  <c r="AN71" i="2"/>
  <c r="AC71" i="2"/>
  <c r="AB71" i="2"/>
  <c r="S71" i="2"/>
  <c r="P71" i="2"/>
  <c r="O71" i="2"/>
  <c r="V71" i="2" s="1"/>
  <c r="N71" i="2"/>
  <c r="AP70" i="2"/>
  <c r="AN70" i="2"/>
  <c r="AC70" i="2"/>
  <c r="AB70" i="2"/>
  <c r="S70" i="2"/>
  <c r="O70" i="2"/>
  <c r="N70" i="2"/>
  <c r="AI70" i="2" s="1"/>
  <c r="AP69" i="2"/>
  <c r="AC69" i="2"/>
  <c r="AB69" i="2"/>
  <c r="S69" i="2"/>
  <c r="O69" i="2"/>
  <c r="P69" i="2" s="1"/>
  <c r="U69" i="2" s="1"/>
  <c r="AO69" i="2" s="1"/>
  <c r="N69" i="2"/>
  <c r="AP68" i="2"/>
  <c r="AN68" i="2"/>
  <c r="AI68" i="2"/>
  <c r="AH68" i="2"/>
  <c r="AG68" i="2"/>
  <c r="AF68" i="2"/>
  <c r="AE68" i="2"/>
  <c r="AC68" i="2"/>
  <c r="AB68" i="2"/>
  <c r="S68" i="2"/>
  <c r="P68" i="2"/>
  <c r="U68" i="2" s="1"/>
  <c r="AO68" i="2" s="1"/>
  <c r="O68" i="2"/>
  <c r="V68" i="2" s="1"/>
  <c r="N68" i="2"/>
  <c r="AP67" i="2"/>
  <c r="AN67" i="2"/>
  <c r="AC67" i="2"/>
  <c r="AB67" i="2"/>
  <c r="V67" i="2"/>
  <c r="S67" i="2"/>
  <c r="P67" i="2"/>
  <c r="O67" i="2"/>
  <c r="N67" i="2"/>
  <c r="AF67" i="2" s="1"/>
  <c r="AP66" i="2"/>
  <c r="AN66" i="2"/>
  <c r="AE66" i="2"/>
  <c r="AC66" i="2"/>
  <c r="AB66" i="2"/>
  <c r="S66" i="2"/>
  <c r="P66" i="2"/>
  <c r="U66" i="2" s="1"/>
  <c r="AO66" i="2" s="1"/>
  <c r="O66" i="2"/>
  <c r="N66" i="2"/>
  <c r="AP65" i="2"/>
  <c r="AN65" i="2"/>
  <c r="AF65" i="2"/>
  <c r="AC65" i="2"/>
  <c r="AB65" i="2"/>
  <c r="AG65" i="2" s="1"/>
  <c r="S65" i="2"/>
  <c r="O65" i="2"/>
  <c r="V65" i="2" s="1"/>
  <c r="N65" i="2"/>
  <c r="AI65" i="2" s="1"/>
  <c r="AP64" i="2"/>
  <c r="AN64" i="2"/>
  <c r="AC64" i="2"/>
  <c r="AB64" i="2"/>
  <c r="S64" i="2"/>
  <c r="P64" i="2"/>
  <c r="O64" i="2"/>
  <c r="N64" i="2"/>
  <c r="AH64" i="2" s="1"/>
  <c r="AP63" i="2"/>
  <c r="AN63" i="2"/>
  <c r="AC63" i="2"/>
  <c r="AB63" i="2"/>
  <c r="V63" i="2"/>
  <c r="S63" i="2"/>
  <c r="O63" i="2"/>
  <c r="P63" i="2" s="1"/>
  <c r="U63" i="2" s="1"/>
  <c r="N63" i="2"/>
  <c r="AI63" i="2" s="1"/>
  <c r="AP62" i="2"/>
  <c r="AN62" i="2"/>
  <c r="AC62" i="2"/>
  <c r="AB62" i="2"/>
  <c r="S62" i="2"/>
  <c r="O62" i="2"/>
  <c r="AH62" i="2" s="1"/>
  <c r="N62" i="2"/>
  <c r="AP61" i="2"/>
  <c r="AN61" i="2"/>
  <c r="AI61" i="2"/>
  <c r="AH61" i="2"/>
  <c r="AG61" i="2"/>
  <c r="AC61" i="2"/>
  <c r="AB61" i="2"/>
  <c r="V61" i="2"/>
  <c r="S61" i="2"/>
  <c r="W61" i="2" s="1"/>
  <c r="P61" i="2"/>
  <c r="O61" i="2"/>
  <c r="N61" i="2"/>
  <c r="AP60" i="2"/>
  <c r="AN60" i="2"/>
  <c r="AI60" i="2"/>
  <c r="AC60" i="2"/>
  <c r="AF60" i="2" s="1"/>
  <c r="AB60" i="2"/>
  <c r="V60" i="2"/>
  <c r="S60" i="2"/>
  <c r="P60" i="2"/>
  <c r="U60" i="2" s="1"/>
  <c r="O60" i="2"/>
  <c r="N60" i="2"/>
  <c r="AH60" i="2" s="1"/>
  <c r="AP59" i="2"/>
  <c r="AN59" i="2"/>
  <c r="AH59" i="2"/>
  <c r="AE59" i="2"/>
  <c r="AC59" i="2"/>
  <c r="AB59" i="2"/>
  <c r="S59" i="2"/>
  <c r="O59" i="2"/>
  <c r="N59" i="2"/>
  <c r="AI59" i="2" s="1"/>
  <c r="AP58" i="2"/>
  <c r="AN58" i="2"/>
  <c r="AC58" i="2"/>
  <c r="AH58" i="2" s="1"/>
  <c r="AB58" i="2"/>
  <c r="V58" i="2"/>
  <c r="S58" i="2"/>
  <c r="P58" i="2"/>
  <c r="U58" i="2" s="1"/>
  <c r="O58" i="2"/>
  <c r="N58" i="2"/>
  <c r="AI58" i="2" s="1"/>
  <c r="AP57" i="2"/>
  <c r="AN57" i="2"/>
  <c r="AC57" i="2"/>
  <c r="AB57" i="2"/>
  <c r="S57" i="2"/>
  <c r="O57" i="2"/>
  <c r="P57" i="2" s="1"/>
  <c r="U57" i="2" s="1"/>
  <c r="N57" i="2"/>
  <c r="AP56" i="2"/>
  <c r="AN56" i="2"/>
  <c r="AC56" i="2"/>
  <c r="AB56" i="2"/>
  <c r="S56" i="2"/>
  <c r="O56" i="2"/>
  <c r="V56" i="2" s="1"/>
  <c r="N56" i="2"/>
  <c r="AP55" i="2"/>
  <c r="AN55" i="2"/>
  <c r="AI55" i="2"/>
  <c r="AG55" i="2"/>
  <c r="AC55" i="2"/>
  <c r="AB55" i="2"/>
  <c r="AE55" i="2" s="1"/>
  <c r="S55" i="2"/>
  <c r="P55" i="2"/>
  <c r="O55" i="2"/>
  <c r="V55" i="2" s="1"/>
  <c r="N55" i="2"/>
  <c r="AH55" i="2" s="1"/>
  <c r="AP54" i="2"/>
  <c r="AN54" i="2"/>
  <c r="AC54" i="2"/>
  <c r="AB54" i="2"/>
  <c r="AH54" i="2" s="1"/>
  <c r="S54" i="2"/>
  <c r="O54" i="2"/>
  <c r="N54" i="2"/>
  <c r="AI54" i="2" s="1"/>
  <c r="AP53" i="2"/>
  <c r="AN53" i="2"/>
  <c r="AC53" i="2"/>
  <c r="AB53" i="2"/>
  <c r="S53" i="2"/>
  <c r="O53" i="2"/>
  <c r="P53" i="2" s="1"/>
  <c r="U53" i="2" s="1"/>
  <c r="N53" i="2"/>
  <c r="AG53" i="2" s="1"/>
  <c r="AP52" i="2"/>
  <c r="AN52" i="2"/>
  <c r="AI52" i="2"/>
  <c r="AH52" i="2"/>
  <c r="AG52" i="2"/>
  <c r="AF52" i="2"/>
  <c r="AE52" i="2"/>
  <c r="AC52" i="2"/>
  <c r="AB52" i="2"/>
  <c r="S52" i="2"/>
  <c r="P52" i="2"/>
  <c r="U52" i="2" s="1"/>
  <c r="O52" i="2"/>
  <c r="V52" i="2" s="1"/>
  <c r="N52" i="2"/>
  <c r="AP51" i="2"/>
  <c r="AN51" i="2"/>
  <c r="AC51" i="2"/>
  <c r="AB51" i="2"/>
  <c r="AG51" i="2" s="1"/>
  <c r="V51" i="2"/>
  <c r="S51" i="2"/>
  <c r="P51" i="2"/>
  <c r="O51" i="2"/>
  <c r="N51" i="2"/>
  <c r="AP50" i="2"/>
  <c r="AN50" i="2"/>
  <c r="AC50" i="2"/>
  <c r="AG50" i="2" s="1"/>
  <c r="AB50" i="2"/>
  <c r="V50" i="2"/>
  <c r="S50" i="2"/>
  <c r="P50" i="2"/>
  <c r="U50" i="2" s="1"/>
  <c r="O50" i="2"/>
  <c r="N50" i="2"/>
  <c r="AP49" i="2"/>
  <c r="AN49" i="2"/>
  <c r="AC49" i="2"/>
  <c r="AB49" i="2"/>
  <c r="AG49" i="2" s="1"/>
  <c r="S49" i="2"/>
  <c r="P49" i="2"/>
  <c r="U49" i="2" s="1"/>
  <c r="O49" i="2"/>
  <c r="V49" i="2" s="1"/>
  <c r="N49" i="2"/>
  <c r="AP48" i="2"/>
  <c r="AE48" i="2"/>
  <c r="AC48" i="2"/>
  <c r="AB48" i="2"/>
  <c r="S48" i="2"/>
  <c r="P48" i="2"/>
  <c r="U48" i="2" s="1"/>
  <c r="O48" i="2"/>
  <c r="N48" i="2"/>
  <c r="AH48" i="2" s="1"/>
  <c r="AP47" i="2"/>
  <c r="AN47" i="2"/>
  <c r="AE47" i="2"/>
  <c r="AC47" i="2"/>
  <c r="AB47" i="2"/>
  <c r="V47" i="2"/>
  <c r="S47" i="2"/>
  <c r="O47" i="2"/>
  <c r="P47" i="2" s="1"/>
  <c r="U47" i="2" s="1"/>
  <c r="N47" i="2"/>
  <c r="AI47" i="2" s="1"/>
  <c r="AP46" i="2"/>
  <c r="AC46" i="2"/>
  <c r="AB46" i="2"/>
  <c r="S46" i="2"/>
  <c r="O46" i="2"/>
  <c r="V46" i="2" s="1"/>
  <c r="N46" i="2"/>
  <c r="AP45" i="2"/>
  <c r="AN45" i="2"/>
  <c r="AH45" i="2"/>
  <c r="AG45" i="2"/>
  <c r="AC45" i="2"/>
  <c r="AB45" i="2"/>
  <c r="V45" i="2"/>
  <c r="S45" i="2"/>
  <c r="P45" i="2"/>
  <c r="O45" i="2"/>
  <c r="N45" i="2"/>
  <c r="AP44" i="2"/>
  <c r="AN44" i="2"/>
  <c r="AC44" i="2"/>
  <c r="AF44" i="2" s="1"/>
  <c r="AB44" i="2"/>
  <c r="V44" i="2"/>
  <c r="S44" i="2"/>
  <c r="P44" i="2"/>
  <c r="U44" i="2" s="1"/>
  <c r="O44" i="2"/>
  <c r="N44" i="2"/>
  <c r="AI44" i="2" s="1"/>
  <c r="AP43" i="2"/>
  <c r="AN43" i="2"/>
  <c r="AC43" i="2"/>
  <c r="AB43" i="2"/>
  <c r="S43" i="2"/>
  <c r="O43" i="2"/>
  <c r="N43" i="2"/>
  <c r="AI43" i="2" s="1"/>
  <c r="AP42" i="2"/>
  <c r="AN42" i="2"/>
  <c r="AC42" i="2"/>
  <c r="AH42" i="2" s="1"/>
  <c r="AB42" i="2"/>
  <c r="V42" i="2"/>
  <c r="S42" i="2"/>
  <c r="P42" i="2"/>
  <c r="U42" i="2" s="1"/>
  <c r="O42" i="2"/>
  <c r="N42" i="2"/>
  <c r="AI42" i="2" s="1"/>
  <c r="AP41" i="2"/>
  <c r="AN41" i="2"/>
  <c r="AC41" i="2"/>
  <c r="AB41" i="2"/>
  <c r="AG41" i="2" s="1"/>
  <c r="S41" i="2"/>
  <c r="O41" i="2"/>
  <c r="P41" i="2" s="1"/>
  <c r="N41" i="2"/>
  <c r="AP40" i="2"/>
  <c r="AN40" i="2"/>
  <c r="AC40" i="2"/>
  <c r="AB40" i="2"/>
  <c r="S40" i="2"/>
  <c r="O40" i="2"/>
  <c r="N40" i="2"/>
  <c r="AP39" i="2"/>
  <c r="AI39" i="2"/>
  <c r="AG39" i="2"/>
  <c r="AE39" i="2"/>
  <c r="AC39" i="2"/>
  <c r="AB39" i="2"/>
  <c r="S39" i="2"/>
  <c r="P39" i="2"/>
  <c r="U39" i="2" s="1"/>
  <c r="O39" i="2"/>
  <c r="V39" i="2" s="1"/>
  <c r="N39" i="2"/>
  <c r="AH39" i="2" s="1"/>
  <c r="AP38" i="2"/>
  <c r="AN38" i="2"/>
  <c r="AI38" i="2"/>
  <c r="AC38" i="2"/>
  <c r="AE38" i="2" s="1"/>
  <c r="AB38" i="2"/>
  <c r="V38" i="2"/>
  <c r="S38" i="2"/>
  <c r="O38" i="2"/>
  <c r="P38" i="2" s="1"/>
  <c r="U38" i="2" s="1"/>
  <c r="N38" i="2"/>
  <c r="AH38" i="2" s="1"/>
  <c r="AP37" i="2"/>
  <c r="AC37" i="2"/>
  <c r="AB37" i="2"/>
  <c r="S37" i="2"/>
  <c r="O37" i="2"/>
  <c r="V37" i="2" s="1"/>
  <c r="N37" i="2"/>
  <c r="AI37" i="2" s="1"/>
  <c r="AP36" i="2"/>
  <c r="AN36" i="2"/>
  <c r="AC36" i="2"/>
  <c r="AB36" i="2"/>
  <c r="S36" i="2"/>
  <c r="O36" i="2"/>
  <c r="V36" i="2" s="1"/>
  <c r="N36" i="2"/>
  <c r="AI36" i="2" s="1"/>
  <c r="AP35" i="2"/>
  <c r="AN35" i="2"/>
  <c r="AH35" i="2"/>
  <c r="AC35" i="2"/>
  <c r="AB35" i="2"/>
  <c r="AI35" i="2" s="1"/>
  <c r="V35" i="2"/>
  <c r="S35" i="2"/>
  <c r="P35" i="2"/>
  <c r="U35" i="2" s="1"/>
  <c r="O35" i="2"/>
  <c r="N35" i="2"/>
  <c r="AG35" i="2" s="1"/>
  <c r="AP34" i="2"/>
  <c r="AN34" i="2"/>
  <c r="AI34" i="2"/>
  <c r="AH34" i="2"/>
  <c r="AC34" i="2"/>
  <c r="AB34" i="2"/>
  <c r="V34" i="2"/>
  <c r="S34" i="2"/>
  <c r="O34" i="2"/>
  <c r="P34" i="2" s="1"/>
  <c r="U34" i="2" s="1"/>
  <c r="N34" i="2"/>
  <c r="AG34" i="2" s="1"/>
  <c r="AP33" i="2"/>
  <c r="AN33" i="2"/>
  <c r="AG33" i="2"/>
  <c r="AF33" i="2"/>
  <c r="AC33" i="2"/>
  <c r="AB33" i="2"/>
  <c r="V33" i="2"/>
  <c r="S33" i="2"/>
  <c r="P33" i="2"/>
  <c r="U33" i="2" s="1"/>
  <c r="O33" i="2"/>
  <c r="N33" i="2"/>
  <c r="AI33" i="2" s="1"/>
  <c r="AP32" i="2"/>
  <c r="AH32" i="2"/>
  <c r="AG32" i="2"/>
  <c r="AF32" i="2"/>
  <c r="AC32" i="2"/>
  <c r="AB32" i="2"/>
  <c r="AI32" i="2" s="1"/>
  <c r="S32" i="2"/>
  <c r="O32" i="2"/>
  <c r="V32" i="2" s="1"/>
  <c r="N32" i="2"/>
  <c r="AE32" i="2" s="1"/>
  <c r="AP31" i="2"/>
  <c r="AN31" i="2"/>
  <c r="AC31" i="2"/>
  <c r="AH31" i="2" s="1"/>
  <c r="AB31" i="2"/>
  <c r="V31" i="2"/>
  <c r="S31" i="2"/>
  <c r="O31" i="2"/>
  <c r="P31" i="2" s="1"/>
  <c r="U31" i="2" s="1"/>
  <c r="N31" i="2"/>
  <c r="AI31" i="2" s="1"/>
  <c r="AP30" i="2"/>
  <c r="AC30" i="2"/>
  <c r="AE30" i="2" s="1"/>
  <c r="AB30" i="2"/>
  <c r="S30" i="2"/>
  <c r="O30" i="2"/>
  <c r="V30" i="2" s="1"/>
  <c r="N30" i="2"/>
  <c r="AP29" i="2"/>
  <c r="AN29" i="2"/>
  <c r="AC29" i="2"/>
  <c r="AB29" i="2"/>
  <c r="AI29" i="2" s="1"/>
  <c r="S29" i="2"/>
  <c r="O29" i="2"/>
  <c r="V29" i="2" s="1"/>
  <c r="N29" i="2"/>
  <c r="AE29" i="2" s="1"/>
  <c r="AP28" i="2"/>
  <c r="AN28" i="2"/>
  <c r="AC28" i="2"/>
  <c r="AB28" i="2"/>
  <c r="AI28" i="2" s="1"/>
  <c r="S28" i="2"/>
  <c r="O28" i="2"/>
  <c r="P28" i="2" s="1"/>
  <c r="U28" i="2" s="1"/>
  <c r="N28" i="2"/>
  <c r="V28" i="2" s="1"/>
  <c r="AP27" i="2"/>
  <c r="AN27" i="2"/>
  <c r="AI27" i="2"/>
  <c r="AC27" i="2"/>
  <c r="AB27" i="2"/>
  <c r="S27" i="2"/>
  <c r="O27" i="2"/>
  <c r="V27" i="2" s="1"/>
  <c r="N27" i="2"/>
  <c r="AH27" i="2" s="1"/>
  <c r="AP26" i="2"/>
  <c r="AN26" i="2"/>
  <c r="AH26" i="2"/>
  <c r="AG26" i="2"/>
  <c r="AC26" i="2"/>
  <c r="AB26" i="2"/>
  <c r="AI26" i="2" s="1"/>
  <c r="S26" i="2"/>
  <c r="O26" i="2"/>
  <c r="V26" i="2" s="1"/>
  <c r="N26" i="2"/>
  <c r="AP25" i="2"/>
  <c r="AN25" i="2"/>
  <c r="AI25" i="2"/>
  <c r="AH25" i="2"/>
  <c r="AG25" i="2"/>
  <c r="AC25" i="2"/>
  <c r="AB25" i="2"/>
  <c r="AE25" i="2" s="1"/>
  <c r="V25" i="2"/>
  <c r="S25" i="2"/>
  <c r="P25" i="2"/>
  <c r="U25" i="2" s="1"/>
  <c r="O25" i="2"/>
  <c r="N25" i="2"/>
  <c r="AF25" i="2" s="1"/>
  <c r="AP24" i="2"/>
  <c r="AN24" i="2"/>
  <c r="AI24" i="2"/>
  <c r="AF24" i="2"/>
  <c r="AE24" i="2"/>
  <c r="AC24" i="2"/>
  <c r="AB24" i="2"/>
  <c r="V24" i="2"/>
  <c r="S24" i="2"/>
  <c r="O24" i="2"/>
  <c r="P24" i="2" s="1"/>
  <c r="U24" i="2" s="1"/>
  <c r="N24" i="2"/>
  <c r="AH24" i="2" s="1"/>
  <c r="AP23" i="2"/>
  <c r="AG23" i="2"/>
  <c r="AF23" i="2"/>
  <c r="AE23" i="2"/>
  <c r="AC23" i="2"/>
  <c r="AB23" i="2"/>
  <c r="S23" i="2"/>
  <c r="P23" i="2"/>
  <c r="U23" i="2" s="1"/>
  <c r="O23" i="2"/>
  <c r="V23" i="2" s="1"/>
  <c r="N23" i="2"/>
  <c r="AI23" i="2" s="1"/>
  <c r="AP22" i="2"/>
  <c r="AC22" i="2"/>
  <c r="AB22" i="2"/>
  <c r="AI22" i="2" s="1"/>
  <c r="S22" i="2"/>
  <c r="P22" i="2"/>
  <c r="U22" i="2" s="1"/>
  <c r="O22" i="2"/>
  <c r="N22" i="2"/>
  <c r="AF22" i="2" s="1"/>
  <c r="AP21" i="2"/>
  <c r="AN21" i="2"/>
  <c r="AC21" i="2"/>
  <c r="AB21" i="2"/>
  <c r="S21" i="2"/>
  <c r="O21" i="2"/>
  <c r="V21" i="2" s="1"/>
  <c r="N21" i="2"/>
  <c r="AI21" i="2" s="1"/>
  <c r="AP20" i="2"/>
  <c r="AN20" i="2"/>
  <c r="AC20" i="2"/>
  <c r="AB20" i="2"/>
  <c r="S20" i="2"/>
  <c r="O20" i="2"/>
  <c r="V20" i="2" s="1"/>
  <c r="N20" i="2"/>
  <c r="AI20" i="2" s="1"/>
  <c r="AP19" i="2"/>
  <c r="AH19" i="2"/>
  <c r="AC19" i="2"/>
  <c r="AB19" i="2"/>
  <c r="AI19" i="2" s="1"/>
  <c r="V19" i="2"/>
  <c r="S19" i="2"/>
  <c r="P19" i="2"/>
  <c r="U19" i="2" s="1"/>
  <c r="O19" i="2"/>
  <c r="N19" i="2"/>
  <c r="AG19" i="2" s="1"/>
  <c r="AP18" i="2"/>
  <c r="AN18" i="2"/>
  <c r="AI18" i="2"/>
  <c r="AH18" i="2"/>
  <c r="AC18" i="2"/>
  <c r="AB18" i="2"/>
  <c r="V18" i="2"/>
  <c r="S18" i="2"/>
  <c r="O18" i="2"/>
  <c r="P18" i="2" s="1"/>
  <c r="U18" i="2" s="1"/>
  <c r="N18" i="2"/>
  <c r="AG18" i="2" s="1"/>
  <c r="AP17" i="2"/>
  <c r="AG17" i="2"/>
  <c r="AF17" i="2"/>
  <c r="AC17" i="2"/>
  <c r="AB17" i="2"/>
  <c r="V17" i="2"/>
  <c r="S17" i="2"/>
  <c r="P17" i="2"/>
  <c r="U17" i="2" s="1"/>
  <c r="O17" i="2"/>
  <c r="N17" i="2"/>
  <c r="AI17" i="2" s="1"/>
  <c r="AP16" i="2"/>
  <c r="AN16" i="2"/>
  <c r="AH16" i="2"/>
  <c r="AG16" i="2"/>
  <c r="AF16" i="2"/>
  <c r="AC16" i="2"/>
  <c r="AB16" i="2"/>
  <c r="AI16" i="2" s="1"/>
  <c r="S16" i="2"/>
  <c r="O16" i="2"/>
  <c r="V16" i="2" s="1"/>
  <c r="N16" i="2"/>
  <c r="AE16" i="2" s="1"/>
  <c r="AP15" i="2"/>
  <c r="AN15" i="2"/>
  <c r="AC15" i="2"/>
  <c r="AH15" i="2" s="1"/>
  <c r="AB15" i="2"/>
  <c r="V15" i="2"/>
  <c r="S15" i="2"/>
  <c r="O15" i="2"/>
  <c r="P15" i="2" s="1"/>
  <c r="U15" i="2" s="1"/>
  <c r="N15" i="2"/>
  <c r="AI15" i="2" s="1"/>
  <c r="AP14" i="2"/>
  <c r="AC14" i="2"/>
  <c r="AE14" i="2" s="1"/>
  <c r="AB14" i="2"/>
  <c r="S14" i="2"/>
  <c r="O14" i="2"/>
  <c r="V14" i="2" s="1"/>
  <c r="N14" i="2"/>
  <c r="AP13" i="2"/>
  <c r="AN13" i="2"/>
  <c r="AC13" i="2"/>
  <c r="AB13" i="2"/>
  <c r="AI13" i="2" s="1"/>
  <c r="S13" i="2"/>
  <c r="O13" i="2"/>
  <c r="V13" i="2" s="1"/>
  <c r="N13" i="2"/>
  <c r="AP12" i="2"/>
  <c r="AC12" i="2"/>
  <c r="AB12" i="2"/>
  <c r="AI12" i="2" s="1"/>
  <c r="S12" i="2"/>
  <c r="O12" i="2"/>
  <c r="P12" i="2" s="1"/>
  <c r="U12" i="2" s="1"/>
  <c r="N12" i="2"/>
  <c r="V12" i="2" s="1"/>
  <c r="AP11" i="2"/>
  <c r="AN11" i="2"/>
  <c r="AI11" i="2"/>
  <c r="AC11" i="2"/>
  <c r="AB11" i="2"/>
  <c r="S11" i="2"/>
  <c r="O11" i="2"/>
  <c r="V11" i="2" s="1"/>
  <c r="N11" i="2"/>
  <c r="AH11" i="2" s="1"/>
  <c r="AP10" i="2"/>
  <c r="AH10" i="2"/>
  <c r="AG10" i="2"/>
  <c r="AC10" i="2"/>
  <c r="AB10" i="2"/>
  <c r="AI10" i="2" s="1"/>
  <c r="S10" i="2"/>
  <c r="O10" i="2"/>
  <c r="V10" i="2" s="1"/>
  <c r="N10" i="2"/>
  <c r="AP9" i="2"/>
  <c r="AN9" i="2"/>
  <c r="AI9" i="2"/>
  <c r="AH9" i="2"/>
  <c r="AG9" i="2"/>
  <c r="AC9" i="2"/>
  <c r="AB9" i="2"/>
  <c r="AE9" i="2" s="1"/>
  <c r="V9" i="2"/>
  <c r="S9" i="2"/>
  <c r="P9" i="2"/>
  <c r="U9" i="2" s="1"/>
  <c r="O9" i="2"/>
  <c r="N9" i="2"/>
  <c r="AF9" i="2" s="1"/>
  <c r="AP8" i="2"/>
  <c r="AI8" i="2"/>
  <c r="AF8" i="2"/>
  <c r="AE8" i="2"/>
  <c r="AC8" i="2"/>
  <c r="AB8" i="2"/>
  <c r="V8" i="2"/>
  <c r="S8" i="2"/>
  <c r="O8" i="2"/>
  <c r="P8" i="2" s="1"/>
  <c r="U8" i="2" s="1"/>
  <c r="N8" i="2"/>
  <c r="AH8" i="2" s="1"/>
  <c r="AP7" i="2"/>
  <c r="AN7" i="2"/>
  <c r="AG7" i="2"/>
  <c r="AF7" i="2"/>
  <c r="AE7" i="2"/>
  <c r="AC7" i="2"/>
  <c r="AB7" i="2"/>
  <c r="S7" i="2"/>
  <c r="P7" i="2"/>
  <c r="U7" i="2" s="1"/>
  <c r="AO7" i="2" s="1"/>
  <c r="O7" i="2"/>
  <c r="V7" i="2" s="1"/>
  <c r="N7" i="2"/>
  <c r="AI7" i="2" s="1"/>
  <c r="AP6" i="2"/>
  <c r="AC6" i="2"/>
  <c r="AB6" i="2"/>
  <c r="AI6" i="2" s="1"/>
  <c r="S6" i="2"/>
  <c r="P6" i="2"/>
  <c r="U6" i="2" s="1"/>
  <c r="O6" i="2"/>
  <c r="N6" i="2"/>
  <c r="AH6" i="2" s="1"/>
  <c r="AP5" i="2"/>
  <c r="AN5" i="2"/>
  <c r="AC5" i="2"/>
  <c r="AB5" i="2"/>
  <c r="S5" i="2"/>
  <c r="O5" i="2"/>
  <c r="V5" i="2" s="1"/>
  <c r="N5" i="2"/>
  <c r="AI5" i="2" s="1"/>
  <c r="AP4" i="2"/>
  <c r="AC4" i="2"/>
  <c r="AB4" i="2"/>
  <c r="S4" i="2"/>
  <c r="O4" i="2"/>
  <c r="V4" i="2" s="1"/>
  <c r="N4" i="2"/>
  <c r="AI4" i="2" s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Q12" i="1"/>
  <c r="P12" i="1"/>
  <c r="O12" i="1"/>
  <c r="N12" i="1"/>
  <c r="M12" i="1"/>
  <c r="I12" i="1"/>
  <c r="H12" i="1"/>
  <c r="G12" i="1"/>
  <c r="F12" i="1"/>
  <c r="E12" i="1"/>
  <c r="M11" i="1"/>
  <c r="M10" i="1"/>
  <c r="M9" i="1"/>
  <c r="M6" i="1" s="1"/>
  <c r="M8" i="1"/>
  <c r="M7" i="1"/>
  <c r="L6" i="1"/>
  <c r="K6" i="1"/>
  <c r="Q5" i="1"/>
  <c r="P5" i="1"/>
  <c r="O5" i="1"/>
  <c r="N5" i="1"/>
  <c r="Q4" i="1"/>
  <c r="W13" i="2" l="1"/>
  <c r="I9" i="1"/>
  <c r="H14" i="1"/>
  <c r="W51" i="2"/>
  <c r="W250" i="2"/>
  <c r="W884" i="2"/>
  <c r="W498" i="2"/>
  <c r="W925" i="2"/>
  <c r="W526" i="2"/>
  <c r="X526" i="2" s="1"/>
  <c r="W713" i="2"/>
  <c r="X713" i="2" s="1"/>
  <c r="W717" i="2"/>
  <c r="X717" i="2" s="1"/>
  <c r="O9" i="1"/>
  <c r="W807" i="2"/>
  <c r="W466" i="2"/>
  <c r="I24" i="1"/>
  <c r="W1256" i="2"/>
  <c r="X1256" i="2" s="1"/>
  <c r="Y1256" i="2" s="1"/>
  <c r="E25" i="1"/>
  <c r="W990" i="2"/>
  <c r="P23" i="1"/>
  <c r="Q8" i="1"/>
  <c r="W571" i="2"/>
  <c r="P22" i="1"/>
  <c r="AL663" i="2"/>
  <c r="AM663" i="2" s="1"/>
  <c r="I22" i="1"/>
  <c r="W147" i="2"/>
  <c r="W510" i="2"/>
  <c r="X510" i="2" s="1"/>
  <c r="W512" i="2"/>
  <c r="P21" i="1"/>
  <c r="I20" i="1"/>
  <c r="W1280" i="2"/>
  <c r="W533" i="2"/>
  <c r="W674" i="2"/>
  <c r="X674" i="2" s="1"/>
  <c r="Y674" i="2" s="1"/>
  <c r="W676" i="2"/>
  <c r="W530" i="2"/>
  <c r="P17" i="1"/>
  <c r="I18" i="1"/>
  <c r="W1115" i="2"/>
  <c r="H16" i="1"/>
  <c r="P19" i="1"/>
  <c r="W1134" i="2"/>
  <c r="X1134" i="2" s="1"/>
  <c r="Y1134" i="2" s="1"/>
  <c r="W352" i="2"/>
  <c r="W576" i="2"/>
  <c r="W170" i="2"/>
  <c r="P15" i="1"/>
  <c r="W20" i="2"/>
  <c r="G14" i="1"/>
  <c r="W909" i="2"/>
  <c r="W1109" i="2"/>
  <c r="X1109" i="2" s="1"/>
  <c r="Y1109" i="2" s="1"/>
  <c r="W1140" i="2"/>
  <c r="W314" i="2"/>
  <c r="X314" i="2" s="1"/>
  <c r="P13" i="1"/>
  <c r="W1229" i="2"/>
  <c r="W1277" i="2"/>
  <c r="X1277" i="2" s="1"/>
  <c r="Y1277" i="2" s="1"/>
  <c r="P11" i="1"/>
  <c r="AL173" i="2"/>
  <c r="AM173" i="2" s="1"/>
  <c r="AN173" i="2" s="1"/>
  <c r="AL975" i="2"/>
  <c r="AM975" i="2" s="1"/>
  <c r="P18" i="1"/>
  <c r="P20" i="1"/>
  <c r="Q22" i="1"/>
  <c r="F25" i="1"/>
  <c r="W145" i="2"/>
  <c r="W894" i="2"/>
  <c r="W1052" i="2"/>
  <c r="X1052" i="2" s="1"/>
  <c r="Y1052" i="2" s="1"/>
  <c r="P9" i="1"/>
  <c r="P14" i="1"/>
  <c r="P16" i="1"/>
  <c r="E19" i="1"/>
  <c r="E21" i="1"/>
  <c r="E23" i="1"/>
  <c r="G25" i="1"/>
  <c r="W209" i="2"/>
  <c r="X209" i="2" s="1"/>
  <c r="Y209" i="2" s="1"/>
  <c r="W252" i="2"/>
  <c r="X252" i="2" s="1"/>
  <c r="Y252" i="2" s="1"/>
  <c r="W582" i="2"/>
  <c r="W1064" i="2"/>
  <c r="X1064" i="2" s="1"/>
  <c r="Y1064" i="2" s="1"/>
  <c r="W1305" i="2"/>
  <c r="O18" i="1"/>
  <c r="Q14" i="1"/>
  <c r="F19" i="1"/>
  <c r="F21" i="1"/>
  <c r="F23" i="1"/>
  <c r="H25" i="1"/>
  <c r="W55" i="2"/>
  <c r="X55" i="2" s="1"/>
  <c r="Y55" i="2" s="1"/>
  <c r="W338" i="2"/>
  <c r="W473" i="2"/>
  <c r="W522" i="2"/>
  <c r="X522" i="2" s="1"/>
  <c r="W740" i="2"/>
  <c r="X740" i="2" s="1"/>
  <c r="Y740" i="2" s="1"/>
  <c r="O20" i="1"/>
  <c r="E17" i="1"/>
  <c r="I8" i="1"/>
  <c r="G19" i="1"/>
  <c r="G21" i="1"/>
  <c r="G23" i="1"/>
  <c r="I25" i="1"/>
  <c r="W1037" i="2"/>
  <c r="W1170" i="2"/>
  <c r="O16" i="1"/>
  <c r="G8" i="1"/>
  <c r="H8" i="1"/>
  <c r="E13" i="1"/>
  <c r="F15" i="1"/>
  <c r="G17" i="1"/>
  <c r="H19" i="1"/>
  <c r="H21" i="1"/>
  <c r="H23" i="1"/>
  <c r="I14" i="1"/>
  <c r="W598" i="2"/>
  <c r="F8" i="1"/>
  <c r="F11" i="1"/>
  <c r="G11" i="1"/>
  <c r="H11" i="1"/>
  <c r="O8" i="1"/>
  <c r="I19" i="1"/>
  <c r="I21" i="1"/>
  <c r="I23" i="1"/>
  <c r="O25" i="1"/>
  <c r="W140" i="2"/>
  <c r="AL157" i="2"/>
  <c r="AM157" i="2" s="1"/>
  <c r="W602" i="2"/>
  <c r="X602" i="2" s="1"/>
  <c r="Y602" i="2" s="1"/>
  <c r="W1197" i="2"/>
  <c r="X1197" i="2" s="1"/>
  <c r="Y1197" i="2" s="1"/>
  <c r="E8" i="1"/>
  <c r="E11" i="1"/>
  <c r="F17" i="1"/>
  <c r="I11" i="1"/>
  <c r="H17" i="1"/>
  <c r="P8" i="1"/>
  <c r="H13" i="1"/>
  <c r="H15" i="1"/>
  <c r="I17" i="1"/>
  <c r="P25" i="1"/>
  <c r="W597" i="2"/>
  <c r="E15" i="1"/>
  <c r="J15" i="1" s="1"/>
  <c r="F13" i="1"/>
  <c r="G13" i="1"/>
  <c r="O11" i="1"/>
  <c r="I15" i="1"/>
  <c r="O19" i="1"/>
  <c r="O21" i="1"/>
  <c r="E26" i="1"/>
  <c r="W931" i="2"/>
  <c r="W1096" i="2"/>
  <c r="X1096" i="2" s="1"/>
  <c r="Y1096" i="2" s="1"/>
  <c r="G15" i="1"/>
  <c r="I13" i="1"/>
  <c r="E9" i="1"/>
  <c r="E24" i="1"/>
  <c r="J24" i="1" s="1"/>
  <c r="F26" i="1"/>
  <c r="O13" i="1"/>
  <c r="E18" i="1"/>
  <c r="J18" i="1" s="1"/>
  <c r="E20" i="1"/>
  <c r="E22" i="1"/>
  <c r="F24" i="1"/>
  <c r="G26" i="1"/>
  <c r="U144" i="2"/>
  <c r="W163" i="2"/>
  <c r="W289" i="2"/>
  <c r="X289" i="2" s="1"/>
  <c r="Y289" i="2" s="1"/>
  <c r="W451" i="2"/>
  <c r="W521" i="2"/>
  <c r="X521" i="2" s="1"/>
  <c r="Y521" i="2" s="1"/>
  <c r="W921" i="2"/>
  <c r="W1300" i="2"/>
  <c r="X1300" i="2" s="1"/>
  <c r="Y1300" i="2" s="1"/>
  <c r="E16" i="1"/>
  <c r="F18" i="1"/>
  <c r="F20" i="1"/>
  <c r="F22" i="1"/>
  <c r="G24" i="1"/>
  <c r="H26" i="1"/>
  <c r="F9" i="1"/>
  <c r="G9" i="1"/>
  <c r="H9" i="1"/>
  <c r="E14" i="1"/>
  <c r="G18" i="1"/>
  <c r="G20" i="1"/>
  <c r="G22" i="1"/>
  <c r="H24" i="1"/>
  <c r="I26" i="1"/>
  <c r="W1232" i="2"/>
  <c r="F16" i="1"/>
  <c r="F14" i="1"/>
  <c r="G16" i="1"/>
  <c r="H18" i="1"/>
  <c r="H20" i="1"/>
  <c r="H22" i="1"/>
  <c r="J22" i="1" s="1"/>
  <c r="U1169" i="2"/>
  <c r="AO1169" i="2" s="1"/>
  <c r="W122" i="2"/>
  <c r="X122" i="2" s="1"/>
  <c r="Y122" i="2" s="1"/>
  <c r="W225" i="2"/>
  <c r="X225" i="2" s="1"/>
  <c r="Y225" i="2" s="1"/>
  <c r="W246" i="2"/>
  <c r="X246" i="2" s="1"/>
  <c r="Y246" i="2" s="1"/>
  <c r="U428" i="2"/>
  <c r="W490" i="2"/>
  <c r="X490" i="2" s="1"/>
  <c r="W776" i="2"/>
  <c r="X776" i="2" s="1"/>
  <c r="Y776" i="2" s="1"/>
  <c r="W1087" i="2"/>
  <c r="X1087" i="2" s="1"/>
  <c r="Y1087" i="2" s="1"/>
  <c r="W1241" i="2"/>
  <c r="W273" i="2"/>
  <c r="X273" i="2" s="1"/>
  <c r="Y273" i="2" s="1"/>
  <c r="W442" i="2"/>
  <c r="X442" i="2" s="1"/>
  <c r="Y442" i="2" s="1"/>
  <c r="W487" i="2"/>
  <c r="X487" i="2" s="1"/>
  <c r="Y487" i="2" s="1"/>
  <c r="W761" i="2"/>
  <c r="X761" i="2" s="1"/>
  <c r="Y761" i="2" s="1"/>
  <c r="W1131" i="2"/>
  <c r="W91" i="2"/>
  <c r="X91" i="2" s="1"/>
  <c r="Y91" i="2" s="1"/>
  <c r="W791" i="2"/>
  <c r="W803" i="2"/>
  <c r="X803" i="2" s="1"/>
  <c r="W1025" i="2"/>
  <c r="X1025" i="2" s="1"/>
  <c r="Y1025" i="2" s="1"/>
  <c r="W1027" i="2"/>
  <c r="U1233" i="2"/>
  <c r="W405" i="2"/>
  <c r="W1208" i="2"/>
  <c r="W45" i="2"/>
  <c r="X45" i="2" s="1"/>
  <c r="Y45" i="2" s="1"/>
  <c r="W298" i="2"/>
  <c r="X298" i="2" s="1"/>
  <c r="Y298" i="2" s="1"/>
  <c r="W794" i="2"/>
  <c r="W881" i="2"/>
  <c r="X881" i="2" s="1"/>
  <c r="Y881" i="2" s="1"/>
  <c r="W928" i="2"/>
  <c r="X928" i="2" s="1"/>
  <c r="Y928" i="2" s="1"/>
  <c r="AJ1078" i="2"/>
  <c r="U275" i="2"/>
  <c r="W285" i="2"/>
  <c r="X972" i="2"/>
  <c r="W1071" i="2"/>
  <c r="X1071" i="2" s="1"/>
  <c r="Y1071" i="2" s="1"/>
  <c r="W1188" i="2"/>
  <c r="U1217" i="2"/>
  <c r="Y1250" i="2"/>
  <c r="W393" i="2"/>
  <c r="W467" i="2"/>
  <c r="X467" i="2" s="1"/>
  <c r="Y467" i="2" s="1"/>
  <c r="W474" i="2"/>
  <c r="X474" i="2" s="1"/>
  <c r="W1118" i="2"/>
  <c r="Y1167" i="2"/>
  <c r="W1223" i="2"/>
  <c r="W112" i="2"/>
  <c r="X112" i="2" s="1"/>
  <c r="Y112" i="2" s="1"/>
  <c r="W234" i="2"/>
  <c r="X234" i="2" s="1"/>
  <c r="Y234" i="2" s="1"/>
  <c r="W257" i="2"/>
  <c r="X257" i="2" s="1"/>
  <c r="Y257" i="2" s="1"/>
  <c r="W362" i="2"/>
  <c r="X362" i="2" s="1"/>
  <c r="Y362" i="2" s="1"/>
  <c r="AK362" i="2" s="1"/>
  <c r="W694" i="2"/>
  <c r="X694" i="2" s="1"/>
  <c r="Y694" i="2" s="1"/>
  <c r="W709" i="2"/>
  <c r="X709" i="2" s="1"/>
  <c r="Y709" i="2" s="1"/>
  <c r="AL838" i="2"/>
  <c r="AM838" i="2" s="1"/>
  <c r="AN838" i="2" s="1"/>
  <c r="W891" i="2"/>
  <c r="X891" i="2" s="1"/>
  <c r="W987" i="2"/>
  <c r="X987" i="2" s="1"/>
  <c r="Y987" i="2" s="1"/>
  <c r="Y88" i="2"/>
  <c r="W128" i="2"/>
  <c r="X128" i="2" s="1"/>
  <c r="Y128" i="2" s="1"/>
  <c r="AL169" i="2"/>
  <c r="AM169" i="2" s="1"/>
  <c r="W450" i="2"/>
  <c r="W614" i="2"/>
  <c r="W824" i="2"/>
  <c r="X824" i="2" s="1"/>
  <c r="Y824" i="2" s="1"/>
  <c r="U1250" i="2"/>
  <c r="W1297" i="2"/>
  <c r="W241" i="2"/>
  <c r="X241" i="2" s="1"/>
  <c r="Y241" i="2" s="1"/>
  <c r="AJ547" i="2"/>
  <c r="W878" i="2"/>
  <c r="X878" i="2" s="1"/>
  <c r="Y878" i="2" s="1"/>
  <c r="U300" i="2"/>
  <c r="W672" i="2"/>
  <c r="X672" i="2" s="1"/>
  <c r="Y672" i="2" s="1"/>
  <c r="W693" i="2"/>
  <c r="X693" i="2" s="1"/>
  <c r="Y693" i="2" s="1"/>
  <c r="W741" i="2"/>
  <c r="U758" i="2"/>
  <c r="W207" i="2"/>
  <c r="X207" i="2" s="1"/>
  <c r="Y207" i="2" s="1"/>
  <c r="W951" i="2"/>
  <c r="X951" i="2" s="1"/>
  <c r="Y951" i="2" s="1"/>
  <c r="U1002" i="2"/>
  <c r="W1042" i="2"/>
  <c r="W729" i="2"/>
  <c r="X729" i="2" s="1"/>
  <c r="W175" i="2"/>
  <c r="X175" i="2" s="1"/>
  <c r="Y175" i="2" s="1"/>
  <c r="W926" i="2"/>
  <c r="X926" i="2" s="1"/>
  <c r="Y926" i="2" s="1"/>
  <c r="W1004" i="2"/>
  <c r="X1004" i="2" s="1"/>
  <c r="Y1004" i="2" s="1"/>
  <c r="U1044" i="2"/>
  <c r="AL362" i="2"/>
  <c r="AM362" i="2" s="1"/>
  <c r="W518" i="2"/>
  <c r="X518" i="2" s="1"/>
  <c r="Y518" i="2" s="1"/>
  <c r="W733" i="2"/>
  <c r="W948" i="2"/>
  <c r="X948" i="2" s="1"/>
  <c r="Y948" i="2" s="1"/>
  <c r="W1051" i="2"/>
  <c r="X1051" i="2" s="1"/>
  <c r="Y1051" i="2" s="1"/>
  <c r="U67" i="2"/>
  <c r="AO67" i="2" s="1"/>
  <c r="AJ531" i="2"/>
  <c r="W1122" i="2"/>
  <c r="W19" i="2"/>
  <c r="X19" i="2" s="1"/>
  <c r="Y19" i="2" s="1"/>
  <c r="U259" i="2"/>
  <c r="W271" i="2"/>
  <c r="X271" i="2" s="1"/>
  <c r="Y271" i="2" s="1"/>
  <c r="W368" i="2"/>
  <c r="X368" i="2" s="1"/>
  <c r="Y368" i="2" s="1"/>
  <c r="W426" i="2"/>
  <c r="X426" i="2" s="1"/>
  <c r="Y426" i="2" s="1"/>
  <c r="W566" i="2"/>
  <c r="X566" i="2" s="1"/>
  <c r="Y566" i="2" s="1"/>
  <c r="W690" i="2"/>
  <c r="X690" i="2" s="1"/>
  <c r="Y690" i="2" s="1"/>
  <c r="W768" i="2"/>
  <c r="X768" i="2" s="1"/>
  <c r="Y768" i="2" s="1"/>
  <c r="W785" i="2"/>
  <c r="X785" i="2" s="1"/>
  <c r="Y785" i="2" s="1"/>
  <c r="W1019" i="2"/>
  <c r="X1019" i="2" s="1"/>
  <c r="W1073" i="2"/>
  <c r="W1163" i="2"/>
  <c r="X1163" i="2" s="1"/>
  <c r="Y1163" i="2" s="1"/>
  <c r="J12" i="1"/>
  <c r="W144" i="2"/>
  <c r="W168" i="2"/>
  <c r="X168" i="2" s="1"/>
  <c r="Y168" i="2" s="1"/>
  <c r="W198" i="2"/>
  <c r="U1061" i="2"/>
  <c r="W297" i="2"/>
  <c r="W608" i="2"/>
  <c r="X608" i="2" s="1"/>
  <c r="Y608" i="2" s="1"/>
  <c r="W640" i="2"/>
  <c r="X640" i="2" s="1"/>
  <c r="Y640" i="2" s="1"/>
  <c r="W649" i="2"/>
  <c r="X649" i="2" s="1"/>
  <c r="Y649" i="2" s="1"/>
  <c r="W685" i="2"/>
  <c r="X685" i="2" s="1"/>
  <c r="W787" i="2"/>
  <c r="W823" i="2"/>
  <c r="U992" i="2"/>
  <c r="W1044" i="2"/>
  <c r="X1044" i="2" s="1"/>
  <c r="Y1044" i="2" s="1"/>
  <c r="W1089" i="2"/>
  <c r="W1099" i="2"/>
  <c r="X1099" i="2" s="1"/>
  <c r="Y1099" i="2" s="1"/>
  <c r="W1165" i="2"/>
  <c r="X1165" i="2" s="1"/>
  <c r="Y1165" i="2" s="1"/>
  <c r="W1177" i="2"/>
  <c r="X1177" i="2" s="1"/>
  <c r="W1224" i="2"/>
  <c r="W1284" i="2"/>
  <c r="X1284" i="2" s="1"/>
  <c r="Y1284" i="2" s="1"/>
  <c r="W1337" i="2"/>
  <c r="W44" i="2"/>
  <c r="X44" i="2" s="1"/>
  <c r="Y44" i="2" s="1"/>
  <c r="W869" i="2"/>
  <c r="X869" i="2" s="1"/>
  <c r="Y869" i="2" s="1"/>
  <c r="W1212" i="2"/>
  <c r="X1212" i="2" s="1"/>
  <c r="Y1212" i="2" s="1"/>
  <c r="W1214" i="2"/>
  <c r="X1214" i="2" s="1"/>
  <c r="Y1214" i="2" s="1"/>
  <c r="W31" i="2"/>
  <c r="X31" i="2" s="1"/>
  <c r="Y31" i="2" s="1"/>
  <c r="W177" i="2"/>
  <c r="X177" i="2" s="1"/>
  <c r="Y177" i="2" s="1"/>
  <c r="W266" i="2"/>
  <c r="X266" i="2" s="1"/>
  <c r="Y266" i="2" s="1"/>
  <c r="W419" i="2"/>
  <c r="X419" i="2" s="1"/>
  <c r="Y419" i="2" s="1"/>
  <c r="W438" i="2"/>
  <c r="X438" i="2" s="1"/>
  <c r="Y438" i="2" s="1"/>
  <c r="W506" i="2"/>
  <c r="X506" i="2" s="1"/>
  <c r="W770" i="2"/>
  <c r="X770" i="2" s="1"/>
  <c r="Y770" i="2" s="1"/>
  <c r="W893" i="2"/>
  <c r="W1181" i="2"/>
  <c r="X1181" i="2" s="1"/>
  <c r="Y1181" i="2" s="1"/>
  <c r="W1246" i="2"/>
  <c r="W95" i="2"/>
  <c r="X95" i="2" s="1"/>
  <c r="Y95" i="2" s="1"/>
  <c r="X170" i="2"/>
  <c r="Y170" i="2" s="1"/>
  <c r="W191" i="2"/>
  <c r="X191" i="2" s="1"/>
  <c r="Y191" i="2" s="1"/>
  <c r="W306" i="2"/>
  <c r="X306" i="2" s="1"/>
  <c r="Y306" i="2" s="1"/>
  <c r="W322" i="2"/>
  <c r="W435" i="2"/>
  <c r="X435" i="2" s="1"/>
  <c r="Y435" i="2" s="1"/>
  <c r="W478" i="2"/>
  <c r="X478" i="2" s="1"/>
  <c r="Y478" i="2" s="1"/>
  <c r="AL677" i="2"/>
  <c r="AM677" i="2" s="1"/>
  <c r="W834" i="2"/>
  <c r="X974" i="2"/>
  <c r="W1086" i="2"/>
  <c r="W1204" i="2"/>
  <c r="U77" i="2"/>
  <c r="W230" i="2"/>
  <c r="X230" i="2" s="1"/>
  <c r="Y230" i="2" s="1"/>
  <c r="AL238" i="2"/>
  <c r="AM238" i="2" s="1"/>
  <c r="AL307" i="2"/>
  <c r="AM307" i="2" s="1"/>
  <c r="W458" i="2"/>
  <c r="X458" i="2" s="1"/>
  <c r="Y458" i="2" s="1"/>
  <c r="W737" i="2"/>
  <c r="X737" i="2" s="1"/>
  <c r="Y737" i="2" s="1"/>
  <c r="W784" i="2"/>
  <c r="X784" i="2" s="1"/>
  <c r="Y784" i="2" s="1"/>
  <c r="W1106" i="2"/>
  <c r="X1106" i="2" s="1"/>
  <c r="Y1106" i="2" s="1"/>
  <c r="W1264" i="2"/>
  <c r="X1264" i="2" s="1"/>
  <c r="Y1264" i="2" s="1"/>
  <c r="W124" i="2"/>
  <c r="X124" i="2" s="1"/>
  <c r="Y124" i="2" s="1"/>
  <c r="W346" i="2"/>
  <c r="X346" i="2" s="1"/>
  <c r="Y346" i="2" s="1"/>
  <c r="W489" i="2"/>
  <c r="W618" i="2"/>
  <c r="X618" i="2" s="1"/>
  <c r="Y618" i="2" s="1"/>
  <c r="W732" i="2"/>
  <c r="X732" i="2" s="1"/>
  <c r="Y732" i="2" s="1"/>
  <c r="W838" i="2"/>
  <c r="X838" i="2" s="1"/>
  <c r="Y838" i="2" s="1"/>
  <c r="W853" i="2"/>
  <c r="X853" i="2" s="1"/>
  <c r="Y853" i="2" s="1"/>
  <c r="W913" i="2"/>
  <c r="X913" i="2" s="1"/>
  <c r="Y913" i="2" s="1"/>
  <c r="W949" i="2"/>
  <c r="X949" i="2" s="1"/>
  <c r="Y949" i="2" s="1"/>
  <c r="W193" i="2"/>
  <c r="X193" i="2" s="1"/>
  <c r="Y193" i="2" s="1"/>
  <c r="W546" i="2"/>
  <c r="W971" i="2"/>
  <c r="W993" i="2"/>
  <c r="W1273" i="2"/>
  <c r="X1273" i="2" s="1"/>
  <c r="Y1273" i="2" s="1"/>
  <c r="X1309" i="2"/>
  <c r="Y1309" i="2" s="1"/>
  <c r="W359" i="2"/>
  <c r="X359" i="2" s="1"/>
  <c r="Y359" i="2" s="1"/>
  <c r="AL367" i="2"/>
  <c r="AM367" i="2" s="1"/>
  <c r="AL382" i="2"/>
  <c r="AM382" i="2" s="1"/>
  <c r="W418" i="2"/>
  <c r="X418" i="2" s="1"/>
  <c r="Y418" i="2" s="1"/>
  <c r="W567" i="2"/>
  <c r="X567" i="2" s="1"/>
  <c r="Y567" i="2" s="1"/>
  <c r="W1123" i="2"/>
  <c r="X1123" i="2" s="1"/>
  <c r="Y1123" i="2" s="1"/>
  <c r="W1189" i="2"/>
  <c r="W35" i="2"/>
  <c r="X35" i="2" s="1"/>
  <c r="Y35" i="2" s="1"/>
  <c r="W505" i="2"/>
  <c r="X505" i="2" s="1"/>
  <c r="Y505" i="2" s="1"/>
  <c r="W866" i="2"/>
  <c r="W890" i="2"/>
  <c r="W964" i="2"/>
  <c r="X964" i="2" s="1"/>
  <c r="Y964" i="2" s="1"/>
  <c r="W1048" i="2"/>
  <c r="X1048" i="2" s="1"/>
  <c r="Y1048" i="2" s="1"/>
  <c r="W1245" i="2"/>
  <c r="X1245" i="2" s="1"/>
  <c r="Y1245" i="2" s="1"/>
  <c r="W1250" i="2"/>
  <c r="W1327" i="2"/>
  <c r="AL306" i="2"/>
  <c r="AM306" i="2" s="1"/>
  <c r="X49" i="2"/>
  <c r="W287" i="2"/>
  <c r="X287" i="2" s="1"/>
  <c r="Y287" i="2" s="1"/>
  <c r="W366" i="2"/>
  <c r="X366" i="2" s="1"/>
  <c r="AL378" i="2"/>
  <c r="AM378" i="2" s="1"/>
  <c r="W434" i="2"/>
  <c r="X434" i="2" s="1"/>
  <c r="Y434" i="2" s="1"/>
  <c r="W441" i="2"/>
  <c r="W514" i="2"/>
  <c r="X514" i="2" s="1"/>
  <c r="Y514" i="2" s="1"/>
  <c r="W1184" i="2"/>
  <c r="X1184" i="2" s="1"/>
  <c r="Y1184" i="2" s="1"/>
  <c r="AL68" i="2"/>
  <c r="AM68" i="2" s="1"/>
  <c r="W169" i="2"/>
  <c r="X169" i="2" s="1"/>
  <c r="Y169" i="2" s="1"/>
  <c r="W453" i="2"/>
  <c r="X453" i="2" s="1"/>
  <c r="Y453" i="2" s="1"/>
  <c r="W457" i="2"/>
  <c r="X457" i="2" s="1"/>
  <c r="Y457" i="2" s="1"/>
  <c r="W587" i="2"/>
  <c r="X587" i="2" s="1"/>
  <c r="Y587" i="2" s="1"/>
  <c r="W615" i="2"/>
  <c r="X615" i="2" s="1"/>
  <c r="Y615" i="2" s="1"/>
  <c r="W736" i="2"/>
  <c r="X736" i="2" s="1"/>
  <c r="W745" i="2"/>
  <c r="W792" i="2"/>
  <c r="X792" i="2" s="1"/>
  <c r="Y792" i="2" s="1"/>
  <c r="W914" i="2"/>
  <c r="X914" i="2" s="1"/>
  <c r="Y914" i="2" s="1"/>
  <c r="W997" i="2"/>
  <c r="W1057" i="2"/>
  <c r="X1057" i="2" s="1"/>
  <c r="Y1057" i="2" s="1"/>
  <c r="X250" i="2"/>
  <c r="Y250" i="2" s="1"/>
  <c r="W67" i="2"/>
  <c r="X67" i="2" s="1"/>
  <c r="Y67" i="2" s="1"/>
  <c r="AL163" i="2"/>
  <c r="AM163" i="2" s="1"/>
  <c r="AN163" i="2" s="1"/>
  <c r="U211" i="2"/>
  <c r="W278" i="2"/>
  <c r="X278" i="2" s="1"/>
  <c r="Y278" i="2" s="1"/>
  <c r="W294" i="2"/>
  <c r="X294" i="2" s="1"/>
  <c r="Y294" i="2" s="1"/>
  <c r="AL323" i="2"/>
  <c r="AM323" i="2" s="1"/>
  <c r="W336" i="2"/>
  <c r="X336" i="2" s="1"/>
  <c r="Y336" i="2" s="1"/>
  <c r="W345" i="2"/>
  <c r="W565" i="2"/>
  <c r="W613" i="2"/>
  <c r="X613" i="2" s="1"/>
  <c r="Y613" i="2" s="1"/>
  <c r="W764" i="2"/>
  <c r="W817" i="2"/>
  <c r="W1293" i="2"/>
  <c r="X1293" i="2" s="1"/>
  <c r="Y1293" i="2" s="1"/>
  <c r="AL131" i="2"/>
  <c r="AM131" i="2" s="1"/>
  <c r="U1018" i="2"/>
  <c r="W75" i="2"/>
  <c r="X75" i="2" s="1"/>
  <c r="Y75" i="2" s="1"/>
  <c r="W99" i="2"/>
  <c r="X99" i="2" s="1"/>
  <c r="Y99" i="2" s="1"/>
  <c r="U112" i="2"/>
  <c r="W270" i="2"/>
  <c r="X270" i="2" s="1"/>
  <c r="Y270" i="2" s="1"/>
  <c r="AL272" i="2"/>
  <c r="AM272" i="2" s="1"/>
  <c r="W519" i="2"/>
  <c r="X519" i="2" s="1"/>
  <c r="Y519" i="2" s="1"/>
  <c r="W677" i="2"/>
  <c r="X677" i="2" s="1"/>
  <c r="Y677" i="2" s="1"/>
  <c r="W874" i="2"/>
  <c r="X874" i="2" s="1"/>
  <c r="Y874" i="2" s="1"/>
  <c r="U903" i="2"/>
  <c r="W1009" i="2"/>
  <c r="W1186" i="2"/>
  <c r="W1289" i="2"/>
  <c r="AL132" i="2"/>
  <c r="AM132" i="2" s="1"/>
  <c r="W167" i="2"/>
  <c r="W268" i="2"/>
  <c r="W499" i="2"/>
  <c r="X499" i="2" s="1"/>
  <c r="Y499" i="2" s="1"/>
  <c r="AJ506" i="2"/>
  <c r="W531" i="2"/>
  <c r="X531" i="2" s="1"/>
  <c r="Y531" i="2" s="1"/>
  <c r="AK531" i="2" s="1"/>
  <c r="AL531" i="2" s="1"/>
  <c r="AM531" i="2" s="1"/>
  <c r="AO531" i="2" s="1"/>
  <c r="W534" i="2"/>
  <c r="X534" i="2" s="1"/>
  <c r="Y534" i="2" s="1"/>
  <c r="W701" i="2"/>
  <c r="X701" i="2" s="1"/>
  <c r="Y701" i="2" s="1"/>
  <c r="W757" i="2"/>
  <c r="X757" i="2" s="1"/>
  <c r="Y757" i="2" s="1"/>
  <c r="X864" i="2"/>
  <c r="Y864" i="2" s="1"/>
  <c r="W910" i="2"/>
  <c r="X910" i="2" s="1"/>
  <c r="Y910" i="2" s="1"/>
  <c r="W1078" i="2"/>
  <c r="X1240" i="2"/>
  <c r="Y1240" i="2" s="1"/>
  <c r="U1249" i="2"/>
  <c r="W1328" i="2"/>
  <c r="W330" i="2"/>
  <c r="X330" i="2" s="1"/>
  <c r="Y330" i="2" s="1"/>
  <c r="AL339" i="2"/>
  <c r="AM339" i="2" s="1"/>
  <c r="W409" i="2"/>
  <c r="X409" i="2" s="1"/>
  <c r="Y409" i="2" s="1"/>
  <c r="U615" i="2"/>
  <c r="W684" i="2"/>
  <c r="X684" i="2" s="1"/>
  <c r="Y684" i="2" s="1"/>
  <c r="AJ910" i="2"/>
  <c r="AJ926" i="2"/>
  <c r="W999" i="2"/>
  <c r="X999" i="2" s="1"/>
  <c r="Y999" i="2" s="1"/>
  <c r="W1031" i="2"/>
  <c r="W15" i="2"/>
  <c r="X15" i="2" s="1"/>
  <c r="Y15" i="2" s="1"/>
  <c r="W282" i="2"/>
  <c r="X282" i="2" s="1"/>
  <c r="Y282" i="2" s="1"/>
  <c r="W284" i="2"/>
  <c r="W400" i="2"/>
  <c r="X400" i="2" s="1"/>
  <c r="Y400" i="2" s="1"/>
  <c r="W538" i="2"/>
  <c r="X538" i="2" s="1"/>
  <c r="W551" i="2"/>
  <c r="X551" i="2" s="1"/>
  <c r="Y551" i="2" s="1"/>
  <c r="U560" i="2"/>
  <c r="W715" i="2"/>
  <c r="X715" i="2" s="1"/>
  <c r="Y715" i="2" s="1"/>
  <c r="W752" i="2"/>
  <c r="X752" i="2" s="1"/>
  <c r="Y752" i="2" s="1"/>
  <c r="W841" i="2"/>
  <c r="X841" i="2" s="1"/>
  <c r="Y841" i="2" s="1"/>
  <c r="W916" i="2"/>
  <c r="W1201" i="2"/>
  <c r="X1201" i="2" s="1"/>
  <c r="Y1201" i="2" s="1"/>
  <c r="U96" i="2"/>
  <c r="W103" i="2"/>
  <c r="X103" i="2" s="1"/>
  <c r="Y103" i="2" s="1"/>
  <c r="AJ362" i="2"/>
  <c r="W365" i="2"/>
  <c r="X365" i="2" s="1"/>
  <c r="Y365" i="2" s="1"/>
  <c r="W528" i="2"/>
  <c r="X528" i="2" s="1"/>
  <c r="Y528" i="2" s="1"/>
  <c r="AJ538" i="2"/>
  <c r="W826" i="2"/>
  <c r="W850" i="2"/>
  <c r="X850" i="2" s="1"/>
  <c r="Y850" i="2" s="1"/>
  <c r="Y974" i="2"/>
  <c r="W1296" i="2"/>
  <c r="W39" i="2"/>
  <c r="X39" i="2" s="1"/>
  <c r="Y39" i="2" s="1"/>
  <c r="U64" i="2"/>
  <c r="AO64" i="2" s="1"/>
  <c r="W81" i="2"/>
  <c r="X81" i="2" s="1"/>
  <c r="Y81" i="2" s="1"/>
  <c r="AL108" i="2"/>
  <c r="AM108" i="2" s="1"/>
  <c r="W113" i="2"/>
  <c r="X113" i="2" s="1"/>
  <c r="Y113" i="2" s="1"/>
  <c r="U177" i="2"/>
  <c r="W196" i="2"/>
  <c r="AL353" i="2"/>
  <c r="AM353" i="2" s="1"/>
  <c r="W448" i="2"/>
  <c r="AJ599" i="2"/>
  <c r="W612" i="2"/>
  <c r="W662" i="2"/>
  <c r="W805" i="2"/>
  <c r="W900" i="2"/>
  <c r="X900" i="2" s="1"/>
  <c r="Y900" i="2" s="1"/>
  <c r="W923" i="2"/>
  <c r="X923" i="2" s="1"/>
  <c r="W941" i="2"/>
  <c r="U1090" i="2"/>
  <c r="AO1090" i="2" s="1"/>
  <c r="U1152" i="2"/>
  <c r="W32" i="2"/>
  <c r="X32" i="2" s="1"/>
  <c r="Y32" i="2" s="1"/>
  <c r="W74" i="2"/>
  <c r="X74" i="2" s="1"/>
  <c r="Y74" i="2" s="1"/>
  <c r="X88" i="2"/>
  <c r="U243" i="2"/>
  <c r="U249" i="2"/>
  <c r="AL338" i="2"/>
  <c r="AM338" i="2" s="1"/>
  <c r="X384" i="2"/>
  <c r="Y384" i="2" s="1"/>
  <c r="AJ467" i="2"/>
  <c r="W642" i="2"/>
  <c r="W775" i="2"/>
  <c r="X775" i="2" s="1"/>
  <c r="Y775" i="2" s="1"/>
  <c r="U859" i="2"/>
  <c r="W985" i="2"/>
  <c r="W1281" i="2"/>
  <c r="X1281" i="2" s="1"/>
  <c r="Y1281" i="2" s="1"/>
  <c r="W83" i="2"/>
  <c r="X83" i="2" s="1"/>
  <c r="Y83" i="2" s="1"/>
  <c r="AL271" i="2"/>
  <c r="AM271" i="2" s="1"/>
  <c r="W378" i="2"/>
  <c r="X378" i="2" s="1"/>
  <c r="W394" i="2"/>
  <c r="X394" i="2" s="1"/>
  <c r="W397" i="2"/>
  <c r="X397" i="2" s="1"/>
  <c r="Y397" i="2" s="1"/>
  <c r="W515" i="2"/>
  <c r="X515" i="2" s="1"/>
  <c r="Y515" i="2" s="1"/>
  <c r="W592" i="2"/>
  <c r="W1077" i="2"/>
  <c r="X1077" i="2" s="1"/>
  <c r="Y1077" i="2" s="1"/>
  <c r="W1102" i="2"/>
  <c r="W1128" i="2"/>
  <c r="X1128" i="2" s="1"/>
  <c r="Y1128" i="2" s="1"/>
  <c r="W1167" i="2"/>
  <c r="W1266" i="2"/>
  <c r="X1266" i="2" s="1"/>
  <c r="Y1266" i="2" s="1"/>
  <c r="AJ394" i="2"/>
  <c r="AJ792" i="2"/>
  <c r="W90" i="2"/>
  <c r="X90" i="2" s="1"/>
  <c r="Y90" i="2" s="1"/>
  <c r="W154" i="2"/>
  <c r="X154" i="2" s="1"/>
  <c r="Y154" i="2" s="1"/>
  <c r="AL175" i="2"/>
  <c r="AM175" i="2" s="1"/>
  <c r="AL350" i="2"/>
  <c r="AM350" i="2" s="1"/>
  <c r="AJ522" i="2"/>
  <c r="W535" i="2"/>
  <c r="X535" i="2" s="1"/>
  <c r="Y535" i="2" s="1"/>
  <c r="W547" i="2"/>
  <c r="X547" i="2" s="1"/>
  <c r="Y547" i="2" s="1"/>
  <c r="AK547" i="2" s="1"/>
  <c r="AL547" i="2" s="1"/>
  <c r="AM547" i="2" s="1"/>
  <c r="AO547" i="2" s="1"/>
  <c r="W580" i="2"/>
  <c r="X580" i="2" s="1"/>
  <c r="Y580" i="2" s="1"/>
  <c r="AL1048" i="2"/>
  <c r="AM1048" i="2" s="1"/>
  <c r="W1062" i="2"/>
  <c r="X1062" i="2" s="1"/>
  <c r="Y1062" i="2" s="1"/>
  <c r="X1167" i="2"/>
  <c r="Y1231" i="2"/>
  <c r="X1250" i="2"/>
  <c r="W410" i="2"/>
  <c r="X410" i="2" s="1"/>
  <c r="Y410" i="2" s="1"/>
  <c r="W483" i="2"/>
  <c r="W537" i="2"/>
  <c r="X537" i="2" s="1"/>
  <c r="Y537" i="2" s="1"/>
  <c r="W596" i="2"/>
  <c r="X596" i="2" s="1"/>
  <c r="Y596" i="2" s="1"/>
  <c r="W655" i="2"/>
  <c r="X655" i="2" s="1"/>
  <c r="Y655" i="2" s="1"/>
  <c r="W675" i="2"/>
  <c r="X675" i="2" s="1"/>
  <c r="Y675" i="2" s="1"/>
  <c r="W743" i="2"/>
  <c r="X743" i="2" s="1"/>
  <c r="Y743" i="2" s="1"/>
  <c r="W842" i="2"/>
  <c r="AL869" i="2"/>
  <c r="AM869" i="2" s="1"/>
  <c r="AL921" i="2"/>
  <c r="AM921" i="2" s="1"/>
  <c r="U973" i="2"/>
  <c r="W1200" i="2"/>
  <c r="U1332" i="2"/>
  <c r="U45" i="2"/>
  <c r="U61" i="2"/>
  <c r="W65" i="2"/>
  <c r="X65" i="2" s="1"/>
  <c r="Y65" i="2" s="1"/>
  <c r="W160" i="2"/>
  <c r="AJ410" i="2"/>
  <c r="AL977" i="2"/>
  <c r="AM977" i="2" s="1"/>
  <c r="U996" i="2"/>
  <c r="W1259" i="2"/>
  <c r="X1259" i="2" s="1"/>
  <c r="W56" i="2"/>
  <c r="X56" i="2" s="1"/>
  <c r="Y56" i="2" s="1"/>
  <c r="W97" i="2"/>
  <c r="X97" i="2" s="1"/>
  <c r="Y97" i="2" s="1"/>
  <c r="AL154" i="2"/>
  <c r="AM154" i="2" s="1"/>
  <c r="AN154" i="2" s="1"/>
  <c r="U160" i="2"/>
  <c r="AO160" i="2" s="1"/>
  <c r="AL164" i="2"/>
  <c r="AM164" i="2" s="1"/>
  <c r="W180" i="2"/>
  <c r="X180" i="2" s="1"/>
  <c r="Y180" i="2" s="1"/>
  <c r="W262" i="2"/>
  <c r="X262" i="2" s="1"/>
  <c r="Y262" i="2" s="1"/>
  <c r="W339" i="2"/>
  <c r="X339" i="2" s="1"/>
  <c r="Y339" i="2" s="1"/>
  <c r="W471" i="2"/>
  <c r="X471" i="2" s="1"/>
  <c r="Y471" i="2" s="1"/>
  <c r="W639" i="2"/>
  <c r="W855" i="2"/>
  <c r="W932" i="2"/>
  <c r="X932" i="2" s="1"/>
  <c r="Y932" i="2" s="1"/>
  <c r="W980" i="2"/>
  <c r="X980" i="2" s="1"/>
  <c r="Y980" i="2" s="1"/>
  <c r="W1039" i="2"/>
  <c r="X1039" i="2" s="1"/>
  <c r="W36" i="2"/>
  <c r="X36" i="2" s="1"/>
  <c r="Y36" i="2" s="1"/>
  <c r="X20" i="2"/>
  <c r="Y20" i="2" s="1"/>
  <c r="W27" i="2"/>
  <c r="X27" i="2" s="1"/>
  <c r="Y27" i="2" s="1"/>
  <c r="W29" i="2"/>
  <c r="X29" i="2" s="1"/>
  <c r="Y29" i="2" s="1"/>
  <c r="W12" i="2"/>
  <c r="X12" i="2" s="1"/>
  <c r="Y12" i="2" s="1"/>
  <c r="W10" i="2"/>
  <c r="X10" i="2" s="1"/>
  <c r="Y10" i="2" s="1"/>
  <c r="W37" i="2"/>
  <c r="X37" i="2" s="1"/>
  <c r="Y37" i="2" s="1"/>
  <c r="X13" i="2"/>
  <c r="Y13" i="2" s="1"/>
  <c r="AJ32" i="2"/>
  <c r="W7" i="2"/>
  <c r="X7" i="2" s="1"/>
  <c r="Y7" i="2" s="1"/>
  <c r="W23" i="2"/>
  <c r="X23" i="2" s="1"/>
  <c r="Y23" i="2" s="1"/>
  <c r="W21" i="2"/>
  <c r="X21" i="2" s="1"/>
  <c r="Y21" i="2" s="1"/>
  <c r="W26" i="2"/>
  <c r="X26" i="2" s="1"/>
  <c r="Y26" i="2" s="1"/>
  <c r="W5" i="2"/>
  <c r="X5" i="2" s="1"/>
  <c r="Y5" i="2" s="1"/>
  <c r="W30" i="2"/>
  <c r="X30" i="2" s="1"/>
  <c r="Y30" i="2" s="1"/>
  <c r="W4" i="2"/>
  <c r="X4" i="2" s="1"/>
  <c r="Y4" i="2" s="1"/>
  <c r="AJ16" i="2"/>
  <c r="W28" i="2"/>
  <c r="X28" i="2" s="1"/>
  <c r="Y28" i="2" s="1"/>
  <c r="W16" i="2"/>
  <c r="X16" i="2" s="1"/>
  <c r="Y16" i="2" s="1"/>
  <c r="W11" i="2"/>
  <c r="X11" i="2" s="1"/>
  <c r="Y11" i="2" s="1"/>
  <c r="AL7" i="2"/>
  <c r="AM7" i="2" s="1"/>
  <c r="W14" i="2"/>
  <c r="X14" i="2" s="1"/>
  <c r="Y14" i="2" s="1"/>
  <c r="W63" i="2"/>
  <c r="X63" i="2" s="1"/>
  <c r="Y63" i="2" s="1"/>
  <c r="AI670" i="2"/>
  <c r="AH670" i="2"/>
  <c r="AG670" i="2"/>
  <c r="AF670" i="2"/>
  <c r="AE670" i="2"/>
  <c r="V670" i="2"/>
  <c r="P670" i="2"/>
  <c r="U670" i="2" s="1"/>
  <c r="AO670" i="2" s="1"/>
  <c r="P13" i="2"/>
  <c r="U13" i="2" s="1"/>
  <c r="W17" i="2"/>
  <c r="X17" i="2" s="1"/>
  <c r="Y17" i="2" s="1"/>
  <c r="P29" i="2"/>
  <c r="U29" i="2" s="1"/>
  <c r="W33" i="2"/>
  <c r="X33" i="2" s="1"/>
  <c r="Y33" i="2" s="1"/>
  <c r="V43" i="2"/>
  <c r="W43" i="2" s="1"/>
  <c r="P43" i="2"/>
  <c r="U43" i="2" s="1"/>
  <c r="P46" i="2"/>
  <c r="U46" i="2" s="1"/>
  <c r="W47" i="2"/>
  <c r="X47" i="2" s="1"/>
  <c r="Y47" i="2" s="1"/>
  <c r="V70" i="2"/>
  <c r="P70" i="2"/>
  <c r="U70" i="2" s="1"/>
  <c r="AF109" i="2"/>
  <c r="AE109" i="2"/>
  <c r="V109" i="2"/>
  <c r="W109" i="2" s="1"/>
  <c r="AE114" i="2"/>
  <c r="V159" i="2"/>
  <c r="V194" i="2"/>
  <c r="P194" i="2"/>
  <c r="U194" i="2" s="1"/>
  <c r="AI194" i="2"/>
  <c r="W232" i="2"/>
  <c r="X232" i="2" s="1"/>
  <c r="Y232" i="2" s="1"/>
  <c r="P4" i="2"/>
  <c r="U4" i="2" s="1"/>
  <c r="AE5" i="2"/>
  <c r="W8" i="2"/>
  <c r="X8" i="2" s="1"/>
  <c r="Y8" i="2" s="1"/>
  <c r="AF14" i="2"/>
  <c r="P20" i="2"/>
  <c r="U20" i="2" s="1"/>
  <c r="AE21" i="2"/>
  <c r="W24" i="2"/>
  <c r="X24" i="2" s="1"/>
  <c r="Y24" i="2" s="1"/>
  <c r="AF30" i="2"/>
  <c r="P36" i="2"/>
  <c r="U36" i="2" s="1"/>
  <c r="AE37" i="2"/>
  <c r="AI40" i="2"/>
  <c r="AH40" i="2"/>
  <c r="AG40" i="2"/>
  <c r="AH41" i="2"/>
  <c r="AE50" i="2"/>
  <c r="AE64" i="2"/>
  <c r="AG71" i="2"/>
  <c r="AE71" i="2"/>
  <c r="W76" i="2"/>
  <c r="X76" i="2" s="1"/>
  <c r="Y76" i="2" s="1"/>
  <c r="AE82" i="2"/>
  <c r="AI101" i="2"/>
  <c r="AL101" i="2" s="1"/>
  <c r="AM101" i="2" s="1"/>
  <c r="AN101" i="2" s="1"/>
  <c r="AH101" i="2"/>
  <c r="AG101" i="2"/>
  <c r="AF101" i="2"/>
  <c r="AE101" i="2"/>
  <c r="AI104" i="2"/>
  <c r="AL104" i="2" s="1"/>
  <c r="AM104" i="2" s="1"/>
  <c r="AH104" i="2"/>
  <c r="AG104" i="2"/>
  <c r="AF104" i="2"/>
  <c r="AF114" i="2"/>
  <c r="AI117" i="2"/>
  <c r="AH117" i="2"/>
  <c r="AG117" i="2"/>
  <c r="AF117" i="2"/>
  <c r="AE117" i="2"/>
  <c r="P136" i="2"/>
  <c r="U136" i="2" s="1"/>
  <c r="AE137" i="2"/>
  <c r="W151" i="2"/>
  <c r="X151" i="2" s="1"/>
  <c r="Y151" i="2" s="1"/>
  <c r="P159" i="2"/>
  <c r="U159" i="2" s="1"/>
  <c r="AO159" i="2" s="1"/>
  <c r="AI267" i="2"/>
  <c r="AH267" i="2"/>
  <c r="AG267" i="2"/>
  <c r="AF267" i="2"/>
  <c r="AE267" i="2"/>
  <c r="AG78" i="2"/>
  <c r="AF78" i="2"/>
  <c r="AE78" i="2"/>
  <c r="AF125" i="2"/>
  <c r="AE125" i="2"/>
  <c r="V125" i="2"/>
  <c r="W125" i="2" s="1"/>
  <c r="AI174" i="2"/>
  <c r="AL174" i="2" s="1"/>
  <c r="AM174" i="2" s="1"/>
  <c r="AH174" i="2"/>
  <c r="AG174" i="2"/>
  <c r="AF174" i="2"/>
  <c r="AE174" i="2"/>
  <c r="AF5" i="2"/>
  <c r="V6" i="2"/>
  <c r="W6" i="2" s="1"/>
  <c r="AH7" i="2"/>
  <c r="AJ7" i="2" s="1"/>
  <c r="AJ9" i="2"/>
  <c r="P11" i="2"/>
  <c r="U11" i="2" s="1"/>
  <c r="AE12" i="2"/>
  <c r="AG14" i="2"/>
  <c r="AF21" i="2"/>
  <c r="V22" i="2"/>
  <c r="W22" i="2" s="1"/>
  <c r="AH23" i="2"/>
  <c r="AJ23" i="2" s="1"/>
  <c r="AJ25" i="2"/>
  <c r="P27" i="2"/>
  <c r="U27" i="2" s="1"/>
  <c r="AE28" i="2"/>
  <c r="AG30" i="2"/>
  <c r="AF37" i="2"/>
  <c r="W38" i="2"/>
  <c r="X38" i="2" s="1"/>
  <c r="Y38" i="2" s="1"/>
  <c r="V40" i="2"/>
  <c r="W42" i="2"/>
  <c r="X42" i="2" s="1"/>
  <c r="Y42" i="2" s="1"/>
  <c r="W46" i="2"/>
  <c r="X46" i="2" s="1"/>
  <c r="Y46" i="2" s="1"/>
  <c r="AF49" i="2"/>
  <c r="AF50" i="2"/>
  <c r="AE51" i="2"/>
  <c r="V59" i="2"/>
  <c r="P59" i="2"/>
  <c r="U59" i="2" s="1"/>
  <c r="X61" i="2"/>
  <c r="AI69" i="2"/>
  <c r="AL69" i="2" s="1"/>
  <c r="AM69" i="2" s="1"/>
  <c r="AN69" i="2" s="1"/>
  <c r="AH69" i="2"/>
  <c r="AF69" i="2"/>
  <c r="AE69" i="2"/>
  <c r="AG77" i="2"/>
  <c r="AI80" i="2"/>
  <c r="AH80" i="2"/>
  <c r="AG80" i="2"/>
  <c r="AF80" i="2"/>
  <c r="AF82" i="2"/>
  <c r="W87" i="2"/>
  <c r="X87" i="2" s="1"/>
  <c r="Y87" i="2" s="1"/>
  <c r="AJ91" i="2"/>
  <c r="W92" i="2"/>
  <c r="X92" i="2" s="1"/>
  <c r="Y92" i="2" s="1"/>
  <c r="W96" i="2"/>
  <c r="X96" i="2" s="1"/>
  <c r="Y96" i="2" s="1"/>
  <c r="AH102" i="2"/>
  <c r="V104" i="2"/>
  <c r="W104" i="2" s="1"/>
  <c r="AI105" i="2"/>
  <c r="AH105" i="2"/>
  <c r="AG105" i="2"/>
  <c r="AH110" i="2"/>
  <c r="AG110" i="2"/>
  <c r="AF110" i="2"/>
  <c r="AE110" i="2"/>
  <c r="AH118" i="2"/>
  <c r="AI120" i="2"/>
  <c r="AH120" i="2"/>
  <c r="AG120" i="2"/>
  <c r="AF120" i="2"/>
  <c r="AI121" i="2"/>
  <c r="AH121" i="2"/>
  <c r="AG121" i="2"/>
  <c r="AH126" i="2"/>
  <c r="AG126" i="2"/>
  <c r="AF126" i="2"/>
  <c r="AE126" i="2"/>
  <c r="AI128" i="2"/>
  <c r="AF129" i="2"/>
  <c r="V133" i="2"/>
  <c r="AI133" i="2"/>
  <c r="AH133" i="2"/>
  <c r="AG133" i="2"/>
  <c r="AF133" i="2"/>
  <c r="AE133" i="2"/>
  <c r="W136" i="2"/>
  <c r="X136" i="2" s="1"/>
  <c r="Y136" i="2" s="1"/>
  <c r="AI143" i="2"/>
  <c r="AL143" i="2" s="1"/>
  <c r="AM143" i="2" s="1"/>
  <c r="AH143" i="2"/>
  <c r="AG143" i="2"/>
  <c r="AF143" i="2"/>
  <c r="AE143" i="2"/>
  <c r="W153" i="2"/>
  <c r="X153" i="2" s="1"/>
  <c r="Y153" i="2" s="1"/>
  <c r="AH157" i="2"/>
  <c r="V181" i="2"/>
  <c r="AI181" i="2"/>
  <c r="AL181" i="2" s="1"/>
  <c r="AM181" i="2" s="1"/>
  <c r="AN181" i="2" s="1"/>
  <c r="AF181" i="2"/>
  <c r="AE181" i="2"/>
  <c r="V267" i="2"/>
  <c r="AJ75" i="2"/>
  <c r="E7" i="1"/>
  <c r="AG5" i="2"/>
  <c r="AF12" i="2"/>
  <c r="AH14" i="2"/>
  <c r="AE19" i="2"/>
  <c r="AG21" i="2"/>
  <c r="AF28" i="2"/>
  <c r="AH30" i="2"/>
  <c r="AE35" i="2"/>
  <c r="AG37" i="2"/>
  <c r="P40" i="2"/>
  <c r="U40" i="2" s="1"/>
  <c r="AH51" i="2"/>
  <c r="AE53" i="2"/>
  <c r="Y61" i="2"/>
  <c r="AI71" i="2"/>
  <c r="V80" i="2"/>
  <c r="AH95" i="2"/>
  <c r="AG95" i="2"/>
  <c r="AF95" i="2"/>
  <c r="AE95" i="2"/>
  <c r="AJ139" i="2"/>
  <c r="Y143" i="2"/>
  <c r="X143" i="2"/>
  <c r="AE144" i="2"/>
  <c r="AI151" i="2"/>
  <c r="AH151" i="2"/>
  <c r="AG151" i="2"/>
  <c r="AF151" i="2"/>
  <c r="AE151" i="2"/>
  <c r="V188" i="2"/>
  <c r="P188" i="2"/>
  <c r="U188" i="2" s="1"/>
  <c r="V229" i="2"/>
  <c r="P229" i="2"/>
  <c r="U229" i="2" s="1"/>
  <c r="AO229" i="2" s="1"/>
  <c r="AI229" i="2"/>
  <c r="AE229" i="2"/>
  <c r="AF229" i="2"/>
  <c r="V347" i="2"/>
  <c r="AI347" i="2"/>
  <c r="AL347" i="2" s="1"/>
  <c r="AM347" i="2" s="1"/>
  <c r="AH347" i="2"/>
  <c r="AG347" i="2"/>
  <c r="AF347" i="2"/>
  <c r="AE347" i="2"/>
  <c r="AH352" i="2"/>
  <c r="AF352" i="2"/>
  <c r="AE352" i="2"/>
  <c r="U352" i="2"/>
  <c r="AO352" i="2" s="1"/>
  <c r="AG352" i="2"/>
  <c r="AH5" i="2"/>
  <c r="AE10" i="2"/>
  <c r="AG12" i="2"/>
  <c r="AI14" i="2"/>
  <c r="AF19" i="2"/>
  <c r="AH21" i="2"/>
  <c r="AE26" i="2"/>
  <c r="AG28" i="2"/>
  <c r="AI30" i="2"/>
  <c r="AF35" i="2"/>
  <c r="AH37" i="2"/>
  <c r="U41" i="2"/>
  <c r="AI51" i="2"/>
  <c r="AG62" i="2"/>
  <c r="AE62" i="2"/>
  <c r="W68" i="2"/>
  <c r="X68" i="2" s="1"/>
  <c r="Y68" i="2" s="1"/>
  <c r="AJ68" i="2"/>
  <c r="AG86" i="2"/>
  <c r="AF86" i="2"/>
  <c r="AE86" i="2"/>
  <c r="W100" i="2"/>
  <c r="AJ100" i="2"/>
  <c r="V101" i="2"/>
  <c r="V117" i="2"/>
  <c r="W156" i="2"/>
  <c r="X156" i="2" s="1"/>
  <c r="Y156" i="2" s="1"/>
  <c r="AI322" i="2"/>
  <c r="AL322" i="2" s="1"/>
  <c r="AM322" i="2" s="1"/>
  <c r="AG322" i="2"/>
  <c r="AE322" i="2"/>
  <c r="AF10" i="2"/>
  <c r="AH12" i="2"/>
  <c r="P16" i="2"/>
  <c r="U16" i="2" s="1"/>
  <c r="AE17" i="2"/>
  <c r="AF26" i="2"/>
  <c r="AH28" i="2"/>
  <c r="P32" i="2"/>
  <c r="U32" i="2" s="1"/>
  <c r="AE33" i="2"/>
  <c r="V41" i="2"/>
  <c r="AG46" i="2"/>
  <c r="AE46" i="2"/>
  <c r="AI56" i="2"/>
  <c r="AH56" i="2"/>
  <c r="AG56" i="2"/>
  <c r="AH57" i="2"/>
  <c r="W58" i="2"/>
  <c r="X58" i="2" s="1"/>
  <c r="Y58" i="2" s="1"/>
  <c r="W60" i="2"/>
  <c r="X60" i="2" s="1"/>
  <c r="Y60" i="2" s="1"/>
  <c r="AI66" i="2"/>
  <c r="AL66" i="2" s="1"/>
  <c r="AM66" i="2" s="1"/>
  <c r="AH66" i="2"/>
  <c r="V69" i="2"/>
  <c r="AH70" i="2"/>
  <c r="AH73" i="2"/>
  <c r="AH79" i="2"/>
  <c r="AG79" i="2"/>
  <c r="AF79" i="2"/>
  <c r="AE79" i="2"/>
  <c r="V86" i="2"/>
  <c r="P86" i="2"/>
  <c r="U86" i="2" s="1"/>
  <c r="AG87" i="2"/>
  <c r="AE87" i="2"/>
  <c r="P95" i="2"/>
  <c r="U95" i="2" s="1"/>
  <c r="W116" i="2"/>
  <c r="X116" i="2" s="1"/>
  <c r="Y116" i="2" s="1"/>
  <c r="AJ116" i="2"/>
  <c r="W120" i="2"/>
  <c r="X120" i="2" s="1"/>
  <c r="Y120" i="2" s="1"/>
  <c r="Y132" i="2"/>
  <c r="W132" i="2"/>
  <c r="AJ132" i="2"/>
  <c r="AE136" i="2"/>
  <c r="W139" i="2"/>
  <c r="X139" i="2" s="1"/>
  <c r="Y139" i="2" s="1"/>
  <c r="AK139" i="2" s="1"/>
  <c r="AL139" i="2" s="1"/>
  <c r="AM139" i="2" s="1"/>
  <c r="X140" i="2"/>
  <c r="Y140" i="2" s="1"/>
  <c r="W143" i="2"/>
  <c r="X147" i="2"/>
  <c r="Y147" i="2" s="1"/>
  <c r="AH150" i="2"/>
  <c r="AG150" i="2"/>
  <c r="AF150" i="2"/>
  <c r="AE150" i="2"/>
  <c r="W161" i="2"/>
  <c r="X161" i="2" s="1"/>
  <c r="Y161" i="2" s="1"/>
  <c r="W176" i="2"/>
  <c r="X176" i="2" s="1"/>
  <c r="Y176" i="2" s="1"/>
  <c r="AJ176" i="2"/>
  <c r="AH188" i="2"/>
  <c r="AE188" i="2"/>
  <c r="W203" i="2"/>
  <c r="X203" i="2" s="1"/>
  <c r="Y203" i="2" s="1"/>
  <c r="W227" i="2"/>
  <c r="X227" i="2" s="1"/>
  <c r="Y227" i="2" s="1"/>
  <c r="AE43" i="2"/>
  <c r="AF62" i="2"/>
  <c r="V73" i="2"/>
  <c r="P73" i="2"/>
  <c r="U73" i="2" s="1"/>
  <c r="AO73" i="2" s="1"/>
  <c r="W79" i="2"/>
  <c r="X79" i="2" s="1"/>
  <c r="Y79" i="2" s="1"/>
  <c r="AI85" i="2"/>
  <c r="AH85" i="2"/>
  <c r="AF85" i="2"/>
  <c r="AE85" i="2"/>
  <c r="AH111" i="2"/>
  <c r="AG111" i="2"/>
  <c r="AF111" i="2"/>
  <c r="AE111" i="2"/>
  <c r="AG125" i="2"/>
  <c r="AH127" i="2"/>
  <c r="AG127" i="2"/>
  <c r="AF127" i="2"/>
  <c r="AE127" i="2"/>
  <c r="V150" i="2"/>
  <c r="P150" i="2"/>
  <c r="U150" i="2" s="1"/>
  <c r="W248" i="2"/>
  <c r="X248" i="2" s="1"/>
  <c r="Y248" i="2" s="1"/>
  <c r="E10" i="1"/>
  <c r="G7" i="1"/>
  <c r="H7" i="1"/>
  <c r="I7" i="1"/>
  <c r="H10" i="1"/>
  <c r="P14" i="2"/>
  <c r="U14" i="2" s="1"/>
  <c r="AE15" i="2"/>
  <c r="W18" i="2"/>
  <c r="X18" i="2" s="1"/>
  <c r="Y18" i="2" s="1"/>
  <c r="P30" i="2"/>
  <c r="U30" i="2" s="1"/>
  <c r="AE31" i="2"/>
  <c r="W34" i="2"/>
  <c r="X34" i="2" s="1"/>
  <c r="Y34" i="2" s="1"/>
  <c r="AF43" i="2"/>
  <c r="AF46" i="2"/>
  <c r="P56" i="2"/>
  <c r="U56" i="2" s="1"/>
  <c r="AI72" i="2"/>
  <c r="AH72" i="2"/>
  <c r="AG72" i="2"/>
  <c r="AF72" i="2"/>
  <c r="P79" i="2"/>
  <c r="U79" i="2" s="1"/>
  <c r="AE104" i="2"/>
  <c r="AJ107" i="2"/>
  <c r="W108" i="2"/>
  <c r="X108" i="2" s="1"/>
  <c r="Y108" i="2" s="1"/>
  <c r="AG109" i="2"/>
  <c r="V111" i="2"/>
  <c r="W111" i="2" s="1"/>
  <c r="Y123" i="2"/>
  <c r="X123" i="2"/>
  <c r="AJ123" i="2"/>
  <c r="AH125" i="2"/>
  <c r="V127" i="2"/>
  <c r="W146" i="2"/>
  <c r="X146" i="2" s="1"/>
  <c r="Y146" i="2" s="1"/>
  <c r="AE152" i="2"/>
  <c r="V152" i="2"/>
  <c r="W152" i="2" s="1"/>
  <c r="W155" i="2"/>
  <c r="X155" i="2" s="1"/>
  <c r="Y155" i="2" s="1"/>
  <c r="AJ155" i="2"/>
  <c r="W171" i="2"/>
  <c r="X171" i="2" s="1"/>
  <c r="Y171" i="2" s="1"/>
  <c r="V62" i="2"/>
  <c r="P62" i="2"/>
  <c r="U62" i="2" s="1"/>
  <c r="AG70" i="2"/>
  <c r="AF70" i="2"/>
  <c r="AE70" i="2"/>
  <c r="W105" i="2"/>
  <c r="X105" i="2" s="1"/>
  <c r="Y105" i="2" s="1"/>
  <c r="W121" i="2"/>
  <c r="X121" i="2" s="1"/>
  <c r="Y121" i="2" s="1"/>
  <c r="I10" i="1"/>
  <c r="P5" i="2"/>
  <c r="U5" i="2" s="1"/>
  <c r="AO5" i="2" s="1"/>
  <c r="AE6" i="2"/>
  <c r="AG8" i="2"/>
  <c r="AJ8" i="2" s="1"/>
  <c r="W9" i="2"/>
  <c r="X9" i="2" s="1"/>
  <c r="Y9" i="2" s="1"/>
  <c r="AF15" i="2"/>
  <c r="AH17" i="2"/>
  <c r="P21" i="2"/>
  <c r="U21" i="2" s="1"/>
  <c r="AE22" i="2"/>
  <c r="AG24" i="2"/>
  <c r="AJ24" i="2" s="1"/>
  <c r="W25" i="2"/>
  <c r="X25" i="2" s="1"/>
  <c r="Y25" i="2" s="1"/>
  <c r="AF31" i="2"/>
  <c r="AH33" i="2"/>
  <c r="P37" i="2"/>
  <c r="U37" i="2" s="1"/>
  <c r="AG38" i="2"/>
  <c r="AE41" i="2"/>
  <c r="AG42" i="2"/>
  <c r="AG43" i="2"/>
  <c r="AI45" i="2"/>
  <c r="AH46" i="2"/>
  <c r="AF59" i="2"/>
  <c r="V72" i="2"/>
  <c r="AG74" i="2"/>
  <c r="AE80" i="2"/>
  <c r="W84" i="2"/>
  <c r="X84" i="2" s="1"/>
  <c r="Y84" i="2" s="1"/>
  <c r="AJ84" i="2"/>
  <c r="X100" i="2"/>
  <c r="Y100" i="2" s="1"/>
  <c r="AK100" i="2" s="1"/>
  <c r="AL100" i="2" s="1"/>
  <c r="AM100" i="2" s="1"/>
  <c r="AO100" i="2" s="1"/>
  <c r="AH109" i="2"/>
  <c r="P111" i="2"/>
  <c r="U111" i="2" s="1"/>
  <c r="AE112" i="2"/>
  <c r="AE120" i="2"/>
  <c r="AI125" i="2"/>
  <c r="P127" i="2"/>
  <c r="U127" i="2" s="1"/>
  <c r="AL130" i="2"/>
  <c r="AM130" i="2" s="1"/>
  <c r="U135" i="2"/>
  <c r="W138" i="2"/>
  <c r="X138" i="2" s="1"/>
  <c r="Y138" i="2" s="1"/>
  <c r="X145" i="2"/>
  <c r="Y145" i="2" s="1"/>
  <c r="P152" i="2"/>
  <c r="U152" i="2" s="1"/>
  <c r="AO152" i="2" s="1"/>
  <c r="W158" i="2"/>
  <c r="X158" i="2" s="1"/>
  <c r="Y158" i="2" s="1"/>
  <c r="W164" i="2"/>
  <c r="X164" i="2" s="1"/>
  <c r="Y164" i="2" s="1"/>
  <c r="AJ164" i="2"/>
  <c r="AL237" i="2"/>
  <c r="AM237" i="2" s="1"/>
  <c r="AF6" i="2"/>
  <c r="AE13" i="2"/>
  <c r="AG15" i="2"/>
  <c r="AG31" i="2"/>
  <c r="AE40" i="2"/>
  <c r="AF41" i="2"/>
  <c r="AH43" i="2"/>
  <c r="AI50" i="2"/>
  <c r="AH50" i="2"/>
  <c r="AF51" i="2"/>
  <c r="U55" i="2"/>
  <c r="V57" i="2"/>
  <c r="AG59" i="2"/>
  <c r="P65" i="2"/>
  <c r="U65" i="2" s="1"/>
  <c r="V66" i="2"/>
  <c r="P72" i="2"/>
  <c r="U72" i="2" s="1"/>
  <c r="AI73" i="2"/>
  <c r="AG73" i="2"/>
  <c r="AI78" i="2"/>
  <c r="V85" i="2"/>
  <c r="V94" i="2"/>
  <c r="P94" i="2"/>
  <c r="U94" i="2" s="1"/>
  <c r="AI95" i="2"/>
  <c r="U103" i="2"/>
  <c r="AO103" i="2" s="1"/>
  <c r="W107" i="2"/>
  <c r="X107" i="2" s="1"/>
  <c r="Y107" i="2" s="1"/>
  <c r="AI109" i="2"/>
  <c r="AI114" i="2"/>
  <c r="U119" i="2"/>
  <c r="W123" i="2"/>
  <c r="X132" i="2"/>
  <c r="W135" i="2"/>
  <c r="X135" i="2" s="1"/>
  <c r="Y135" i="2" s="1"/>
  <c r="AI142" i="2"/>
  <c r="AL156" i="2"/>
  <c r="AM156" i="2" s="1"/>
  <c r="AN156" i="2" s="1"/>
  <c r="X160" i="2"/>
  <c r="Y160" i="2" s="1"/>
  <c r="Y165" i="2"/>
  <c r="AE4" i="2"/>
  <c r="AG6" i="2"/>
  <c r="AF13" i="2"/>
  <c r="AE20" i="2"/>
  <c r="AG22" i="2"/>
  <c r="AF29" i="2"/>
  <c r="AE36" i="2"/>
  <c r="AF40" i="2"/>
  <c r="AI41" i="2"/>
  <c r="AI49" i="2"/>
  <c r="W52" i="2"/>
  <c r="X52" i="2" s="1"/>
  <c r="Y52" i="2" s="1"/>
  <c r="AJ52" i="2"/>
  <c r="AI53" i="2"/>
  <c r="AH53" i="2"/>
  <c r="AF53" i="2"/>
  <c r="AG54" i="2"/>
  <c r="AF54" i="2"/>
  <c r="AE54" i="2"/>
  <c r="AG57" i="2"/>
  <c r="AI64" i="2"/>
  <c r="AG64" i="2"/>
  <c r="AF64" i="2"/>
  <c r="AF77" i="2"/>
  <c r="AE77" i="2"/>
  <c r="V78" i="2"/>
  <c r="P78" i="2"/>
  <c r="U78" i="2" s="1"/>
  <c r="V89" i="2"/>
  <c r="P89" i="2"/>
  <c r="U89" i="2" s="1"/>
  <c r="Y131" i="2"/>
  <c r="X131" i="2"/>
  <c r="V142" i="2"/>
  <c r="P142" i="2"/>
  <c r="U142" i="2" s="1"/>
  <c r="AI150" i="2"/>
  <c r="AL161" i="2"/>
  <c r="AM161" i="2" s="1"/>
  <c r="AI187" i="2"/>
  <c r="AH187" i="2"/>
  <c r="AG187" i="2"/>
  <c r="AF187" i="2"/>
  <c r="AE187" i="2"/>
  <c r="AI206" i="2"/>
  <c r="AH206" i="2"/>
  <c r="AF206" i="2"/>
  <c r="AG206" i="2"/>
  <c r="AE206" i="2"/>
  <c r="W235" i="2"/>
  <c r="X235" i="2" s="1"/>
  <c r="Y235" i="2" s="1"/>
  <c r="W148" i="2"/>
  <c r="X148" i="2" s="1"/>
  <c r="Y148" i="2" s="1"/>
  <c r="AJ148" i="2"/>
  <c r="AI159" i="2"/>
  <c r="AH159" i="2"/>
  <c r="AG159" i="2"/>
  <c r="AF159" i="2"/>
  <c r="AE159" i="2"/>
  <c r="F7" i="1"/>
  <c r="F10" i="1"/>
  <c r="G10" i="1"/>
  <c r="O7" i="1"/>
  <c r="AF4" i="2"/>
  <c r="P10" i="2"/>
  <c r="U10" i="2" s="1"/>
  <c r="AE11" i="2"/>
  <c r="AG13" i="2"/>
  <c r="AF20" i="2"/>
  <c r="AH22" i="2"/>
  <c r="P26" i="2"/>
  <c r="U26" i="2" s="1"/>
  <c r="AE27" i="2"/>
  <c r="AG29" i="2"/>
  <c r="AF36" i="2"/>
  <c r="Y49" i="2"/>
  <c r="V54" i="2"/>
  <c r="P54" i="2"/>
  <c r="U54" i="2" s="1"/>
  <c r="AG58" i="2"/>
  <c r="AH63" i="2"/>
  <c r="AG63" i="2"/>
  <c r="AF63" i="2"/>
  <c r="AE63" i="2"/>
  <c r="V64" i="2"/>
  <c r="W64" i="2" s="1"/>
  <c r="AI67" i="2"/>
  <c r="AL67" i="2" s="1"/>
  <c r="AM67" i="2" s="1"/>
  <c r="AG67" i="2"/>
  <c r="AG69" i="2"/>
  <c r="AH71" i="2"/>
  <c r="AE73" i="2"/>
  <c r="AI86" i="2"/>
  <c r="AI88" i="2"/>
  <c r="AH88" i="2"/>
  <c r="AG88" i="2"/>
  <c r="AF88" i="2"/>
  <c r="AF93" i="2"/>
  <c r="AE93" i="2"/>
  <c r="V93" i="2"/>
  <c r="W93" i="2" s="1"/>
  <c r="W98" i="2"/>
  <c r="X98" i="2" s="1"/>
  <c r="Y98" i="2" s="1"/>
  <c r="W106" i="2"/>
  <c r="X106" i="2" s="1"/>
  <c r="Y106" i="2" s="1"/>
  <c r="W115" i="2"/>
  <c r="X115" i="2" s="1"/>
  <c r="Y115" i="2" s="1"/>
  <c r="AI129" i="2"/>
  <c r="W131" i="2"/>
  <c r="AI135" i="2"/>
  <c r="AG135" i="2"/>
  <c r="AF135" i="2"/>
  <c r="AE135" i="2"/>
  <c r="V187" i="2"/>
  <c r="V206" i="2"/>
  <c r="W206" i="2" s="1"/>
  <c r="P7" i="1"/>
  <c r="O10" i="1"/>
  <c r="AG4" i="2"/>
  <c r="AF11" i="2"/>
  <c r="AH13" i="2"/>
  <c r="AE18" i="2"/>
  <c r="AG20" i="2"/>
  <c r="AF27" i="2"/>
  <c r="AH29" i="2"/>
  <c r="AE34" i="2"/>
  <c r="AG36" i="2"/>
  <c r="AF38" i="2"/>
  <c r="AH47" i="2"/>
  <c r="AG47" i="2"/>
  <c r="AF47" i="2"/>
  <c r="AI48" i="2"/>
  <c r="AG48" i="2"/>
  <c r="AF48" i="2"/>
  <c r="AE57" i="2"/>
  <c r="AF73" i="2"/>
  <c r="AI79" i="2"/>
  <c r="AI111" i="2"/>
  <c r="AI127" i="2"/>
  <c r="Y130" i="2"/>
  <c r="X130" i="2"/>
  <c r="W130" i="2"/>
  <c r="AH134" i="2"/>
  <c r="AG134" i="2"/>
  <c r="AF134" i="2"/>
  <c r="AE134" i="2"/>
  <c r="W137" i="2"/>
  <c r="X137" i="2" s="1"/>
  <c r="Y137" i="2" s="1"/>
  <c r="V149" i="2"/>
  <c r="AI149" i="2"/>
  <c r="AH149" i="2"/>
  <c r="AG149" i="2"/>
  <c r="AF149" i="2"/>
  <c r="AE149" i="2"/>
  <c r="AG157" i="2"/>
  <c r="AF157" i="2"/>
  <c r="AE157" i="2"/>
  <c r="V157" i="2"/>
  <c r="AH158" i="2"/>
  <c r="AF158" i="2"/>
  <c r="AE158" i="2"/>
  <c r="P187" i="2"/>
  <c r="U187" i="2" s="1"/>
  <c r="AI195" i="2"/>
  <c r="AG195" i="2"/>
  <c r="AG214" i="2"/>
  <c r="AE214" i="2"/>
  <c r="V292" i="2"/>
  <c r="P292" i="2"/>
  <c r="U292" i="2" s="1"/>
  <c r="AH4" i="2"/>
  <c r="AG11" i="2"/>
  <c r="AF18" i="2"/>
  <c r="AH20" i="2"/>
  <c r="AG27" i="2"/>
  <c r="AF34" i="2"/>
  <c r="AH36" i="2"/>
  <c r="V48" i="2"/>
  <c r="W49" i="2"/>
  <c r="U51" i="2"/>
  <c r="AO51" i="2" s="1"/>
  <c r="V53" i="2"/>
  <c r="AE56" i="2"/>
  <c r="AF57" i="2"/>
  <c r="AF66" i="2"/>
  <c r="AE67" i="2"/>
  <c r="U71" i="2"/>
  <c r="AO71" i="2" s="1"/>
  <c r="AI81" i="2"/>
  <c r="P88" i="2"/>
  <c r="U88" i="2" s="1"/>
  <c r="AO88" i="2" s="1"/>
  <c r="AI89" i="2"/>
  <c r="AH89" i="2"/>
  <c r="AG89" i="2"/>
  <c r="AG102" i="2"/>
  <c r="AF102" i="2"/>
  <c r="AE102" i="2"/>
  <c r="AI103" i="2"/>
  <c r="AG103" i="2"/>
  <c r="AF103" i="2"/>
  <c r="AE103" i="2"/>
  <c r="V110" i="2"/>
  <c r="P110" i="2"/>
  <c r="U110" i="2" s="1"/>
  <c r="W114" i="2"/>
  <c r="X114" i="2" s="1"/>
  <c r="Y114" i="2" s="1"/>
  <c r="AG118" i="2"/>
  <c r="AF118" i="2"/>
  <c r="AE118" i="2"/>
  <c r="AI119" i="2"/>
  <c r="AG119" i="2"/>
  <c r="AF119" i="2"/>
  <c r="AE119" i="2"/>
  <c r="V126" i="2"/>
  <c r="P126" i="2"/>
  <c r="U126" i="2" s="1"/>
  <c r="P129" i="2"/>
  <c r="U129" i="2" s="1"/>
  <c r="V134" i="2"/>
  <c r="P134" i="2"/>
  <c r="U134" i="2" s="1"/>
  <c r="AG141" i="2"/>
  <c r="AF141" i="2"/>
  <c r="AE141" i="2"/>
  <c r="V141" i="2"/>
  <c r="W141" i="2" s="1"/>
  <c r="AI144" i="2"/>
  <c r="AH166" i="2"/>
  <c r="AG166" i="2"/>
  <c r="AF166" i="2"/>
  <c r="AE166" i="2"/>
  <c r="AG189" i="2"/>
  <c r="AE189" i="2"/>
  <c r="P10" i="1"/>
  <c r="AH44" i="2"/>
  <c r="AG44" i="2"/>
  <c r="AE44" i="2"/>
  <c r="AF45" i="2"/>
  <c r="AE45" i="2"/>
  <c r="AI46" i="2"/>
  <c r="W50" i="2"/>
  <c r="X50" i="2" s="1"/>
  <c r="Y50" i="2" s="1"/>
  <c r="X51" i="2"/>
  <c r="Y51" i="2" s="1"/>
  <c r="AF56" i="2"/>
  <c r="AI57" i="2"/>
  <c r="AF61" i="2"/>
  <c r="AE61" i="2"/>
  <c r="AI62" i="2"/>
  <c r="AG66" i="2"/>
  <c r="AH67" i="2"/>
  <c r="W71" i="2"/>
  <c r="X71" i="2" s="1"/>
  <c r="Y71" i="2" s="1"/>
  <c r="AE72" i="2"/>
  <c r="V77" i="2"/>
  <c r="W82" i="2"/>
  <c r="X82" i="2" s="1"/>
  <c r="Y82" i="2" s="1"/>
  <c r="W88" i="2"/>
  <c r="AH94" i="2"/>
  <c r="AF94" i="2"/>
  <c r="AE94" i="2"/>
  <c r="V102" i="2"/>
  <c r="P102" i="2"/>
  <c r="U102" i="2" s="1"/>
  <c r="P113" i="2"/>
  <c r="U113" i="2" s="1"/>
  <c r="V118" i="2"/>
  <c r="P118" i="2"/>
  <c r="U118" i="2" s="1"/>
  <c r="W129" i="2"/>
  <c r="X129" i="2" s="1"/>
  <c r="Y129" i="2" s="1"/>
  <c r="AH142" i="2"/>
  <c r="AF142" i="2"/>
  <c r="AE142" i="2"/>
  <c r="Y144" i="2"/>
  <c r="X144" i="2"/>
  <c r="AL162" i="2"/>
  <c r="AM162" i="2" s="1"/>
  <c r="AN162" i="2" s="1"/>
  <c r="X163" i="2"/>
  <c r="Y163" i="2" s="1"/>
  <c r="V166" i="2"/>
  <c r="P166" i="2"/>
  <c r="U166" i="2" s="1"/>
  <c r="AO166" i="2" s="1"/>
  <c r="W280" i="2"/>
  <c r="X280" i="2" s="1"/>
  <c r="Y280" i="2" s="1"/>
  <c r="AH82" i="2"/>
  <c r="AF96" i="2"/>
  <c r="AH98" i="2"/>
  <c r="AJ98" i="2" s="1"/>
  <c r="AF112" i="2"/>
  <c r="AH114" i="2"/>
  <c r="AF128" i="2"/>
  <c r="AH130" i="2"/>
  <c r="AJ130" i="2" s="1"/>
  <c r="AG137" i="2"/>
  <c r="AF144" i="2"/>
  <c r="AH146" i="2"/>
  <c r="AJ146" i="2" s="1"/>
  <c r="AG153" i="2"/>
  <c r="AF160" i="2"/>
  <c r="AH162" i="2"/>
  <c r="AJ162" i="2" s="1"/>
  <c r="AG167" i="2"/>
  <c r="U170" i="2"/>
  <c r="AO170" i="2" s="1"/>
  <c r="AE170" i="2"/>
  <c r="V174" i="2"/>
  <c r="W174" i="2" s="1"/>
  <c r="AH197" i="2"/>
  <c r="X198" i="2"/>
  <c r="Y198" i="2" s="1"/>
  <c r="W202" i="2"/>
  <c r="X202" i="2" s="1"/>
  <c r="Y202" i="2" s="1"/>
  <c r="AG207" i="2"/>
  <c r="AF207" i="2"/>
  <c r="AH210" i="2"/>
  <c r="V213" i="2"/>
  <c r="P213" i="2"/>
  <c r="U213" i="2" s="1"/>
  <c r="AI213" i="2"/>
  <c r="AE213" i="2"/>
  <c r="AI219" i="2"/>
  <c r="AH219" i="2"/>
  <c r="AG219" i="2"/>
  <c r="AF219" i="2"/>
  <c r="AE219" i="2"/>
  <c r="V219" i="2"/>
  <c r="W222" i="2"/>
  <c r="X222" i="2" s="1"/>
  <c r="Y222" i="2" s="1"/>
  <c r="AG229" i="2"/>
  <c r="AE234" i="2"/>
  <c r="W237" i="2"/>
  <c r="X237" i="2" s="1"/>
  <c r="Y237" i="2" s="1"/>
  <c r="AL239" i="2"/>
  <c r="AM239" i="2" s="1"/>
  <c r="W245" i="2"/>
  <c r="X245" i="2" s="1"/>
  <c r="Y245" i="2" s="1"/>
  <c r="W275" i="2"/>
  <c r="X275" i="2" s="1"/>
  <c r="Y275" i="2" s="1"/>
  <c r="W277" i="2"/>
  <c r="X277" i="2" s="1"/>
  <c r="Y277" i="2" s="1"/>
  <c r="W290" i="2"/>
  <c r="X290" i="2" s="1"/>
  <c r="Y290" i="2" s="1"/>
  <c r="W307" i="2"/>
  <c r="X307" i="2" s="1"/>
  <c r="Y307" i="2" s="1"/>
  <c r="AF392" i="2"/>
  <c r="W402" i="2"/>
  <c r="X402" i="2" s="1"/>
  <c r="Y402" i="2" s="1"/>
  <c r="AF39" i="2"/>
  <c r="AJ39" i="2" s="1"/>
  <c r="AF55" i="2"/>
  <c r="AJ55" i="2" s="1"/>
  <c r="AK55" i="2" s="1"/>
  <c r="AF71" i="2"/>
  <c r="AF87" i="2"/>
  <c r="AG96" i="2"/>
  <c r="AG112" i="2"/>
  <c r="AG128" i="2"/>
  <c r="AH137" i="2"/>
  <c r="AG144" i="2"/>
  <c r="AH153" i="2"/>
  <c r="AG160" i="2"/>
  <c r="AG169" i="2"/>
  <c r="P180" i="2"/>
  <c r="U180" i="2" s="1"/>
  <c r="AG185" i="2"/>
  <c r="AF185" i="2"/>
  <c r="AE185" i="2"/>
  <c r="V197" i="2"/>
  <c r="P197" i="2"/>
  <c r="U197" i="2" s="1"/>
  <c r="AG201" i="2"/>
  <c r="AF201" i="2"/>
  <c r="AE201" i="2"/>
  <c r="AI205" i="2"/>
  <c r="V210" i="2"/>
  <c r="P210" i="2"/>
  <c r="U210" i="2" s="1"/>
  <c r="W243" i="2"/>
  <c r="X243" i="2" s="1"/>
  <c r="Y243" i="2" s="1"/>
  <c r="AI260" i="2"/>
  <c r="W269" i="2"/>
  <c r="X269" i="2" s="1"/>
  <c r="Y269" i="2" s="1"/>
  <c r="X284" i="2"/>
  <c r="Y284" i="2" s="1"/>
  <c r="V340" i="2"/>
  <c r="P340" i="2"/>
  <c r="U340" i="2" s="1"/>
  <c r="AO340" i="2" s="1"/>
  <c r="AI340" i="2"/>
  <c r="AG340" i="2"/>
  <c r="AF340" i="2"/>
  <c r="AI358" i="2"/>
  <c r="AH358" i="2"/>
  <c r="V392" i="2"/>
  <c r="W392" i="2" s="1"/>
  <c r="P392" i="2"/>
  <c r="U392" i="2" s="1"/>
  <c r="AO392" i="2" s="1"/>
  <c r="AH96" i="2"/>
  <c r="AH112" i="2"/>
  <c r="AH128" i="2"/>
  <c r="AH144" i="2"/>
  <c r="AH160" i="2"/>
  <c r="AE165" i="2"/>
  <c r="W186" i="2"/>
  <c r="X186" i="2" s="1"/>
  <c r="Y186" i="2" s="1"/>
  <c r="W216" i="2"/>
  <c r="X216" i="2" s="1"/>
  <c r="Y216" i="2" s="1"/>
  <c r="U234" i="2"/>
  <c r="AO234" i="2" s="1"/>
  <c r="W254" i="2"/>
  <c r="X254" i="2" s="1"/>
  <c r="Y254" i="2" s="1"/>
  <c r="V260" i="2"/>
  <c r="W260" i="2" s="1"/>
  <c r="P260" i="2"/>
  <c r="U260" i="2" s="1"/>
  <c r="AE60" i="2"/>
  <c r="P75" i="2"/>
  <c r="U75" i="2" s="1"/>
  <c r="AE76" i="2"/>
  <c r="P91" i="2"/>
  <c r="U91" i="2" s="1"/>
  <c r="AE92" i="2"/>
  <c r="AG94" i="2"/>
  <c r="P107" i="2"/>
  <c r="U107" i="2" s="1"/>
  <c r="AO107" i="2" s="1"/>
  <c r="AE108" i="2"/>
  <c r="P123" i="2"/>
  <c r="U123" i="2" s="1"/>
  <c r="AE124" i="2"/>
  <c r="P139" i="2"/>
  <c r="U139" i="2" s="1"/>
  <c r="AE140" i="2"/>
  <c r="AG142" i="2"/>
  <c r="P155" i="2"/>
  <c r="U155" i="2" s="1"/>
  <c r="AE156" i="2"/>
  <c r="AG158" i="2"/>
  <c r="AI160" i="2"/>
  <c r="AF165" i="2"/>
  <c r="AG170" i="2"/>
  <c r="AI184" i="2"/>
  <c r="U186" i="2"/>
  <c r="AI190" i="2"/>
  <c r="AH190" i="2"/>
  <c r="AI200" i="2"/>
  <c r="V226" i="2"/>
  <c r="P226" i="2"/>
  <c r="U226" i="2" s="1"/>
  <c r="W258" i="2"/>
  <c r="X258" i="2" s="1"/>
  <c r="Y258" i="2" s="1"/>
  <c r="W286" i="2"/>
  <c r="X286" i="2" s="1"/>
  <c r="Y286" i="2" s="1"/>
  <c r="AF301" i="2"/>
  <c r="AE301" i="2"/>
  <c r="V301" i="2"/>
  <c r="AI301" i="2"/>
  <c r="AH301" i="2"/>
  <c r="AG301" i="2"/>
  <c r="AG165" i="2"/>
  <c r="W192" i="2"/>
  <c r="X192" i="2" s="1"/>
  <c r="Y192" i="2" s="1"/>
  <c r="AJ192" i="2"/>
  <c r="W205" i="2"/>
  <c r="X205" i="2" s="1"/>
  <c r="Y205" i="2" s="1"/>
  <c r="AH383" i="2"/>
  <c r="AG383" i="2"/>
  <c r="AF383" i="2"/>
  <c r="V383" i="2"/>
  <c r="AI383" i="2"/>
  <c r="AL383" i="2" s="1"/>
  <c r="AM383" i="2" s="1"/>
  <c r="AE383" i="2"/>
  <c r="AE42" i="2"/>
  <c r="AE58" i="2"/>
  <c r="AG60" i="2"/>
  <c r="AE74" i="2"/>
  <c r="AG76" i="2"/>
  <c r="AE90" i="2"/>
  <c r="AG92" i="2"/>
  <c r="P105" i="2"/>
  <c r="U105" i="2" s="1"/>
  <c r="AO105" i="2" s="1"/>
  <c r="AE106" i="2"/>
  <c r="AG108" i="2"/>
  <c r="P121" i="2"/>
  <c r="U121" i="2" s="1"/>
  <c r="AE122" i="2"/>
  <c r="AG124" i="2"/>
  <c r="P137" i="2"/>
  <c r="U137" i="2" s="1"/>
  <c r="AE138" i="2"/>
  <c r="AG140" i="2"/>
  <c r="P153" i="2"/>
  <c r="U153" i="2" s="1"/>
  <c r="AO153" i="2" s="1"/>
  <c r="AE154" i="2"/>
  <c r="AG156" i="2"/>
  <c r="AH165" i="2"/>
  <c r="AI167" i="2"/>
  <c r="AL167" i="2" s="1"/>
  <c r="AM167" i="2" s="1"/>
  <c r="AI170" i="2"/>
  <c r="W173" i="2"/>
  <c r="X173" i="2" s="1"/>
  <c r="Y173" i="2" s="1"/>
  <c r="AE175" i="2"/>
  <c r="AH179" i="2"/>
  <c r="AF179" i="2"/>
  <c r="AE179" i="2"/>
  <c r="U191" i="2"/>
  <c r="X196" i="2"/>
  <c r="Y196" i="2" s="1"/>
  <c r="AE197" i="2"/>
  <c r="U202" i="2"/>
  <c r="AI202" i="2"/>
  <c r="AG202" i="2"/>
  <c r="AE202" i="2"/>
  <c r="AI212" i="2"/>
  <c r="V228" i="2"/>
  <c r="W228" i="2" s="1"/>
  <c r="P228" i="2"/>
  <c r="U228" i="2" s="1"/>
  <c r="AO228" i="2" s="1"/>
  <c r="AI230" i="2"/>
  <c r="AL230" i="2" s="1"/>
  <c r="AM230" i="2" s="1"/>
  <c r="AG233" i="2"/>
  <c r="AF233" i="2"/>
  <c r="AE233" i="2"/>
  <c r="AI233" i="2"/>
  <c r="AL233" i="2" s="1"/>
  <c r="AM233" i="2" s="1"/>
  <c r="AI236" i="2"/>
  <c r="AF42" i="2"/>
  <c r="AE49" i="2"/>
  <c r="AF58" i="2"/>
  <c r="AE65" i="2"/>
  <c r="AF74" i="2"/>
  <c r="P80" i="2"/>
  <c r="U80" i="2" s="1"/>
  <c r="AE81" i="2"/>
  <c r="AG83" i="2"/>
  <c r="AJ83" i="2" s="1"/>
  <c r="AF90" i="2"/>
  <c r="AE97" i="2"/>
  <c r="AG99" i="2"/>
  <c r="AJ99" i="2" s="1"/>
  <c r="AF106" i="2"/>
  <c r="AE113" i="2"/>
  <c r="AG115" i="2"/>
  <c r="AJ115" i="2" s="1"/>
  <c r="AF122" i="2"/>
  <c r="P128" i="2"/>
  <c r="U128" i="2" s="1"/>
  <c r="AE129" i="2"/>
  <c r="AG131" i="2"/>
  <c r="AJ131" i="2" s="1"/>
  <c r="AF138" i="2"/>
  <c r="AE145" i="2"/>
  <c r="AG147" i="2"/>
  <c r="AJ147" i="2" s="1"/>
  <c r="AF154" i="2"/>
  <c r="AE161" i="2"/>
  <c r="AG163" i="2"/>
  <c r="AJ163" i="2" s="1"/>
  <c r="AI165" i="2"/>
  <c r="AL165" i="2" s="1"/>
  <c r="AM165" i="2" s="1"/>
  <c r="AN165" i="2" s="1"/>
  <c r="AF175" i="2"/>
  <c r="W179" i="2"/>
  <c r="X179" i="2" s="1"/>
  <c r="Y179" i="2" s="1"/>
  <c r="AI183" i="2"/>
  <c r="V185" i="2"/>
  <c r="W190" i="2"/>
  <c r="X190" i="2" s="1"/>
  <c r="Y190" i="2" s="1"/>
  <c r="AF197" i="2"/>
  <c r="V201" i="2"/>
  <c r="V212" i="2"/>
  <c r="P212" i="2"/>
  <c r="U212" i="2" s="1"/>
  <c r="W221" i="2"/>
  <c r="X221" i="2" s="1"/>
  <c r="Y221" i="2" s="1"/>
  <c r="W236" i="2"/>
  <c r="X236" i="2" s="1"/>
  <c r="Y236" i="2" s="1"/>
  <c r="AI251" i="2"/>
  <c r="AH251" i="2"/>
  <c r="AG251" i="2"/>
  <c r="AF251" i="2"/>
  <c r="AE251" i="2"/>
  <c r="W264" i="2"/>
  <c r="X264" i="2" s="1"/>
  <c r="Y264" i="2" s="1"/>
  <c r="AO410" i="2"/>
  <c r="AL410" i="2"/>
  <c r="AM410" i="2" s="1"/>
  <c r="AH171" i="2"/>
  <c r="AG171" i="2"/>
  <c r="AF171" i="2"/>
  <c r="AE171" i="2"/>
  <c r="AI172" i="2"/>
  <c r="AG172" i="2"/>
  <c r="AF172" i="2"/>
  <c r="AE183" i="2"/>
  <c r="V183" i="2"/>
  <c r="W183" i="2" s="1"/>
  <c r="P183" i="2"/>
  <c r="U183" i="2" s="1"/>
  <c r="AG186" i="2"/>
  <c r="AE186" i="2"/>
  <c r="AI189" i="2"/>
  <c r="AI204" i="2"/>
  <c r="AG204" i="2"/>
  <c r="AF204" i="2"/>
  <c r="AG205" i="2"/>
  <c r="AE205" i="2"/>
  <c r="W218" i="2"/>
  <c r="X218" i="2" s="1"/>
  <c r="Y218" i="2" s="1"/>
  <c r="AI234" i="2"/>
  <c r="AG234" i="2"/>
  <c r="AF234" i="2"/>
  <c r="W251" i="2"/>
  <c r="X251" i="2" s="1"/>
  <c r="Y251" i="2" s="1"/>
  <c r="AI283" i="2"/>
  <c r="AH283" i="2"/>
  <c r="AG283" i="2"/>
  <c r="AF283" i="2"/>
  <c r="AE283" i="2"/>
  <c r="W293" i="2"/>
  <c r="X293" i="2" s="1"/>
  <c r="Y293" i="2" s="1"/>
  <c r="AF136" i="2"/>
  <c r="AF152" i="2"/>
  <c r="P158" i="2"/>
  <c r="U158" i="2" s="1"/>
  <c r="AO158" i="2" s="1"/>
  <c r="W162" i="2"/>
  <c r="AL168" i="2"/>
  <c r="AM168" i="2" s="1"/>
  <c r="AN168" i="2" s="1"/>
  <c r="AF169" i="2"/>
  <c r="AE169" i="2"/>
  <c r="V172" i="2"/>
  <c r="P172" i="2"/>
  <c r="U172" i="2" s="1"/>
  <c r="AG173" i="2"/>
  <c r="AE173" i="2"/>
  <c r="AH178" i="2"/>
  <c r="AG178" i="2"/>
  <c r="AF178" i="2"/>
  <c r="AE178" i="2"/>
  <c r="AI182" i="2"/>
  <c r="V204" i="2"/>
  <c r="V233" i="2"/>
  <c r="AI244" i="2"/>
  <c r="X268" i="2"/>
  <c r="Y268" i="2" s="1"/>
  <c r="AI276" i="2"/>
  <c r="V283" i="2"/>
  <c r="X285" i="2"/>
  <c r="Y285" i="2" s="1"/>
  <c r="W291" i="2"/>
  <c r="X291" i="2" s="1"/>
  <c r="Y291" i="2" s="1"/>
  <c r="AH49" i="2"/>
  <c r="AH65" i="2"/>
  <c r="AH81" i="2"/>
  <c r="AH97" i="2"/>
  <c r="AH113" i="2"/>
  <c r="AH129" i="2"/>
  <c r="AG136" i="2"/>
  <c r="AH145" i="2"/>
  <c r="AG152" i="2"/>
  <c r="AH161" i="2"/>
  <c r="X162" i="2"/>
  <c r="Y162" i="2" s="1"/>
  <c r="P171" i="2"/>
  <c r="U171" i="2" s="1"/>
  <c r="V178" i="2"/>
  <c r="P178" i="2"/>
  <c r="U178" i="2" s="1"/>
  <c r="W184" i="2"/>
  <c r="X184" i="2" s="1"/>
  <c r="Y184" i="2" s="1"/>
  <c r="AF186" i="2"/>
  <c r="AE190" i="2"/>
  <c r="AH195" i="2"/>
  <c r="AF195" i="2"/>
  <c r="AE195" i="2"/>
  <c r="AE199" i="2"/>
  <c r="V199" i="2"/>
  <c r="W199" i="2" s="1"/>
  <c r="P199" i="2"/>
  <c r="U199" i="2" s="1"/>
  <c r="W200" i="2"/>
  <c r="X200" i="2" s="1"/>
  <c r="Y200" i="2" s="1"/>
  <c r="AH201" i="2"/>
  <c r="AI207" i="2"/>
  <c r="AG217" i="2"/>
  <c r="AF217" i="2"/>
  <c r="AE217" i="2"/>
  <c r="AI217" i="2"/>
  <c r="AH234" i="2"/>
  <c r="W238" i="2"/>
  <c r="X238" i="2" s="1"/>
  <c r="Y238" i="2" s="1"/>
  <c r="V244" i="2"/>
  <c r="P244" i="2"/>
  <c r="U244" i="2" s="1"/>
  <c r="W253" i="2"/>
  <c r="X253" i="2" s="1"/>
  <c r="Y253" i="2" s="1"/>
  <c r="W261" i="2"/>
  <c r="X261" i="2" s="1"/>
  <c r="Y261" i="2" s="1"/>
  <c r="W274" i="2"/>
  <c r="X274" i="2" s="1"/>
  <c r="Y274" i="2" s="1"/>
  <c r="V276" i="2"/>
  <c r="P276" i="2"/>
  <c r="U276" i="2" s="1"/>
  <c r="AG293" i="2"/>
  <c r="W380" i="2"/>
  <c r="X380" i="2" s="1"/>
  <c r="Y380" i="2" s="1"/>
  <c r="AH136" i="2"/>
  <c r="AH152" i="2"/>
  <c r="AH185" i="2"/>
  <c r="AH186" i="2"/>
  <c r="W189" i="2"/>
  <c r="X189" i="2" s="1"/>
  <c r="Y189" i="2" s="1"/>
  <c r="AF190" i="2"/>
  <c r="AE191" i="2"/>
  <c r="V195" i="2"/>
  <c r="AI201" i="2"/>
  <c r="AI203" i="2"/>
  <c r="AH203" i="2"/>
  <c r="AG203" i="2"/>
  <c r="AF203" i="2"/>
  <c r="AE203" i="2"/>
  <c r="W242" i="2"/>
  <c r="X242" i="2" s="1"/>
  <c r="Y242" i="2" s="1"/>
  <c r="W259" i="2"/>
  <c r="X259" i="2" s="1"/>
  <c r="Y259" i="2" s="1"/>
  <c r="X167" i="2"/>
  <c r="Y167" i="2" s="1"/>
  <c r="W182" i="2"/>
  <c r="X182" i="2" s="1"/>
  <c r="Y182" i="2" s="1"/>
  <c r="AI185" i="2"/>
  <c r="AI186" i="2"/>
  <c r="AG190" i="2"/>
  <c r="AF191" i="2"/>
  <c r="U195" i="2"/>
  <c r="AH211" i="2"/>
  <c r="W214" i="2"/>
  <c r="X214" i="2" s="1"/>
  <c r="Y214" i="2" s="1"/>
  <c r="U218" i="2"/>
  <c r="AI218" i="2"/>
  <c r="AG218" i="2"/>
  <c r="AF218" i="2"/>
  <c r="AE218" i="2"/>
  <c r="AI220" i="2"/>
  <c r="AH220" i="2"/>
  <c r="AG220" i="2"/>
  <c r="AF220" i="2"/>
  <c r="AL232" i="2"/>
  <c r="AM232" i="2" s="1"/>
  <c r="AN232" i="2" s="1"/>
  <c r="AH233" i="2"/>
  <c r="P312" i="2"/>
  <c r="U312" i="2" s="1"/>
  <c r="AO312" i="2" s="1"/>
  <c r="AF312" i="2"/>
  <c r="V312" i="2"/>
  <c r="AH181" i="2"/>
  <c r="AF183" i="2"/>
  <c r="AI188" i="2"/>
  <c r="AG188" i="2"/>
  <c r="AF188" i="2"/>
  <c r="AH194" i="2"/>
  <c r="AG194" i="2"/>
  <c r="AF194" i="2"/>
  <c r="AE194" i="2"/>
  <c r="AG200" i="2"/>
  <c r="AE200" i="2"/>
  <c r="AE204" i="2"/>
  <c r="W211" i="2"/>
  <c r="X211" i="2" s="1"/>
  <c r="Y211" i="2" s="1"/>
  <c r="W217" i="2"/>
  <c r="X217" i="2" s="1"/>
  <c r="Y217" i="2" s="1"/>
  <c r="W220" i="2"/>
  <c r="X220" i="2" s="1"/>
  <c r="Y220" i="2" s="1"/>
  <c r="AH227" i="2"/>
  <c r="AH230" i="2"/>
  <c r="AG230" i="2"/>
  <c r="AE230" i="2"/>
  <c r="AI235" i="2"/>
  <c r="AH235" i="2"/>
  <c r="AG235" i="2"/>
  <c r="AF235" i="2"/>
  <c r="AE235" i="2"/>
  <c r="AH319" i="2"/>
  <c r="AG319" i="2"/>
  <c r="AF319" i="2"/>
  <c r="V319" i="2"/>
  <c r="AI319" i="2"/>
  <c r="AL319" i="2" s="1"/>
  <c r="AM319" i="2" s="1"/>
  <c r="AE319" i="2"/>
  <c r="AI360" i="2"/>
  <c r="AH360" i="2"/>
  <c r="AG360" i="2"/>
  <c r="AE360" i="2"/>
  <c r="AF360" i="2"/>
  <c r="U377" i="2"/>
  <c r="AO377" i="2" s="1"/>
  <c r="AI377" i="2"/>
  <c r="AH377" i="2"/>
  <c r="AG377" i="2"/>
  <c r="AF377" i="2"/>
  <c r="AE377" i="2"/>
  <c r="AG215" i="2"/>
  <c r="AF222" i="2"/>
  <c r="AF238" i="2"/>
  <c r="AE245" i="2"/>
  <c r="AI249" i="2"/>
  <c r="AE261" i="2"/>
  <c r="AI265" i="2"/>
  <c r="AE277" i="2"/>
  <c r="AI281" i="2"/>
  <c r="AE293" i="2"/>
  <c r="U313" i="2"/>
  <c r="AO313" i="2" s="1"/>
  <c r="AI313" i="2"/>
  <c r="AG313" i="2"/>
  <c r="AE313" i="2"/>
  <c r="AH325" i="2"/>
  <c r="AI331" i="2"/>
  <c r="AL331" i="2" s="1"/>
  <c r="AM331" i="2" s="1"/>
  <c r="AH331" i="2"/>
  <c r="AG331" i="2"/>
  <c r="W343" i="2"/>
  <c r="X343" i="2" s="1"/>
  <c r="Y343" i="2" s="1"/>
  <c r="AH357" i="2"/>
  <c r="V360" i="2"/>
  <c r="P360" i="2"/>
  <c r="U360" i="2" s="1"/>
  <c r="AO360" i="2" s="1"/>
  <c r="AI376" i="2"/>
  <c r="AH376" i="2"/>
  <c r="AG376" i="2"/>
  <c r="AE376" i="2"/>
  <c r="P389" i="2"/>
  <c r="U389" i="2" s="1"/>
  <c r="AI389" i="2"/>
  <c r="AE389" i="2"/>
  <c r="W396" i="2"/>
  <c r="X396" i="2" s="1"/>
  <c r="Y396" i="2" s="1"/>
  <c r="AI400" i="2"/>
  <c r="AH400" i="2"/>
  <c r="AG400" i="2"/>
  <c r="AF400" i="2"/>
  <c r="AE400" i="2"/>
  <c r="X405" i="2"/>
  <c r="Y405" i="2" s="1"/>
  <c r="AH528" i="2"/>
  <c r="AG528" i="2"/>
  <c r="AF528" i="2"/>
  <c r="AE528" i="2"/>
  <c r="AI295" i="2"/>
  <c r="AH295" i="2"/>
  <c r="AI300" i="2"/>
  <c r="AG300" i="2"/>
  <c r="AF300" i="2"/>
  <c r="AE300" i="2"/>
  <c r="P325" i="2"/>
  <c r="U325" i="2" s="1"/>
  <c r="AO325" i="2" s="1"/>
  <c r="AE325" i="2"/>
  <c r="W332" i="2"/>
  <c r="X332" i="2" s="1"/>
  <c r="Y332" i="2" s="1"/>
  <c r="AH335" i="2"/>
  <c r="AG335" i="2"/>
  <c r="AF335" i="2"/>
  <c r="V335" i="2"/>
  <c r="P357" i="2"/>
  <c r="U357" i="2" s="1"/>
  <c r="AI357" i="2"/>
  <c r="AE357" i="2"/>
  <c r="W364" i="2"/>
  <c r="X364" i="2" s="1"/>
  <c r="Y364" i="2" s="1"/>
  <c r="AH368" i="2"/>
  <c r="AG368" i="2"/>
  <c r="AF368" i="2"/>
  <c r="AE368" i="2"/>
  <c r="V376" i="2"/>
  <c r="P376" i="2"/>
  <c r="U376" i="2" s="1"/>
  <c r="AO376" i="2" s="1"/>
  <c r="AL387" i="2"/>
  <c r="AM387" i="2" s="1"/>
  <c r="AG181" i="2"/>
  <c r="AG197" i="2"/>
  <c r="AJ208" i="2"/>
  <c r="AE211" i="2"/>
  <c r="AG213" i="2"/>
  <c r="AH222" i="2"/>
  <c r="X223" i="2"/>
  <c r="Y223" i="2" s="1"/>
  <c r="AJ224" i="2"/>
  <c r="AE227" i="2"/>
  <c r="AF236" i="2"/>
  <c r="AH238" i="2"/>
  <c r="X239" i="2"/>
  <c r="Y239" i="2" s="1"/>
  <c r="AJ240" i="2"/>
  <c r="P242" i="2"/>
  <c r="U242" i="2" s="1"/>
  <c r="AE243" i="2"/>
  <c r="AG245" i="2"/>
  <c r="AF252" i="2"/>
  <c r="AH254" i="2"/>
  <c r="X255" i="2"/>
  <c r="Y255" i="2" s="1"/>
  <c r="AJ256" i="2"/>
  <c r="P258" i="2"/>
  <c r="U258" i="2" s="1"/>
  <c r="AE259" i="2"/>
  <c r="AF268" i="2"/>
  <c r="AH270" i="2"/>
  <c r="AJ272" i="2"/>
  <c r="P274" i="2"/>
  <c r="U274" i="2" s="1"/>
  <c r="AE275" i="2"/>
  <c r="AF284" i="2"/>
  <c r="AH286" i="2"/>
  <c r="AJ288" i="2"/>
  <c r="P290" i="2"/>
  <c r="U290" i="2" s="1"/>
  <c r="AE291" i="2"/>
  <c r="V295" i="2"/>
  <c r="AF313" i="2"/>
  <c r="AF315" i="2"/>
  <c r="AI318" i="2"/>
  <c r="AL318" i="2" s="1"/>
  <c r="AM318" i="2" s="1"/>
  <c r="AH318" i="2"/>
  <c r="AG318" i="2"/>
  <c r="AF318" i="2"/>
  <c r="AE321" i="2"/>
  <c r="AE329" i="2"/>
  <c r="AL355" i="2"/>
  <c r="AM355" i="2" s="1"/>
  <c r="P373" i="2"/>
  <c r="U373" i="2" s="1"/>
  <c r="AO373" i="2" s="1"/>
  <c r="AI373" i="2"/>
  <c r="AE373" i="2"/>
  <c r="AH384" i="2"/>
  <c r="AG384" i="2"/>
  <c r="AF384" i="2"/>
  <c r="AE384" i="2"/>
  <c r="V389" i="2"/>
  <c r="W395" i="2"/>
  <c r="X395" i="2" s="1"/>
  <c r="Y395" i="2" s="1"/>
  <c r="AF211" i="2"/>
  <c r="AF227" i="2"/>
  <c r="AG236" i="2"/>
  <c r="AF243" i="2"/>
  <c r="AE250" i="2"/>
  <c r="AG252" i="2"/>
  <c r="AI254" i="2"/>
  <c r="AF259" i="2"/>
  <c r="AE266" i="2"/>
  <c r="AG268" i="2"/>
  <c r="AI270" i="2"/>
  <c r="AF275" i="2"/>
  <c r="AE282" i="2"/>
  <c r="AG284" i="2"/>
  <c r="AI286" i="2"/>
  <c r="AF291" i="2"/>
  <c r="P295" i="2"/>
  <c r="U295" i="2" s="1"/>
  <c r="AI299" i="2"/>
  <c r="AG299" i="2"/>
  <c r="AI305" i="2"/>
  <c r="AF308" i="2"/>
  <c r="V311" i="2"/>
  <c r="P311" i="2"/>
  <c r="U311" i="2" s="1"/>
  <c r="AO311" i="2" s="1"/>
  <c r="AG311" i="2"/>
  <c r="AH313" i="2"/>
  <c r="V318" i="2"/>
  <c r="AE324" i="2"/>
  <c r="V325" i="2"/>
  <c r="AJ330" i="2"/>
  <c r="V331" i="2"/>
  <c r="AJ346" i="2"/>
  <c r="V357" i="2"/>
  <c r="W363" i="2"/>
  <c r="X363" i="2" s="1"/>
  <c r="Y363" i="2" s="1"/>
  <c r="Y366" i="2"/>
  <c r="AL371" i="2"/>
  <c r="AM371" i="2" s="1"/>
  <c r="W407" i="2"/>
  <c r="X407" i="2" s="1"/>
  <c r="Y407" i="2" s="1"/>
  <c r="W413" i="2"/>
  <c r="X413" i="2" s="1"/>
  <c r="Y413" i="2" s="1"/>
  <c r="W493" i="2"/>
  <c r="X493" i="2" s="1"/>
  <c r="Y493" i="2" s="1"/>
  <c r="W507" i="2"/>
  <c r="X507" i="2" s="1"/>
  <c r="Y507" i="2" s="1"/>
  <c r="AG595" i="2"/>
  <c r="AF595" i="2"/>
  <c r="AE595" i="2"/>
  <c r="AI595" i="2"/>
  <c r="AH595" i="2"/>
  <c r="AH236" i="2"/>
  <c r="AG243" i="2"/>
  <c r="AI245" i="2"/>
  <c r="AF250" i="2"/>
  <c r="AH252" i="2"/>
  <c r="AG259" i="2"/>
  <c r="AI261" i="2"/>
  <c r="AF266" i="2"/>
  <c r="AH268" i="2"/>
  <c r="AG275" i="2"/>
  <c r="AI277" i="2"/>
  <c r="AF282" i="2"/>
  <c r="AH284" i="2"/>
  <c r="AI293" i="2"/>
  <c r="AI296" i="2"/>
  <c r="AH296" i="2"/>
  <c r="V324" i="2"/>
  <c r="P324" i="2"/>
  <c r="U324" i="2" s="1"/>
  <c r="AO324" i="2" s="1"/>
  <c r="AH336" i="2"/>
  <c r="AF336" i="2"/>
  <c r="AE336" i="2"/>
  <c r="W350" i="2"/>
  <c r="X350" i="2" s="1"/>
  <c r="Y350" i="2" s="1"/>
  <c r="W379" i="2"/>
  <c r="X379" i="2" s="1"/>
  <c r="Y379" i="2" s="1"/>
  <c r="W386" i="2"/>
  <c r="X386" i="2" s="1"/>
  <c r="Y386" i="2" s="1"/>
  <c r="AI402" i="2"/>
  <c r="AG402" i="2"/>
  <c r="W404" i="2"/>
  <c r="X404" i="2" s="1"/>
  <c r="Y404" i="2" s="1"/>
  <c r="AI429" i="2"/>
  <c r="AH429" i="2"/>
  <c r="AG429" i="2"/>
  <c r="AF177" i="2"/>
  <c r="AJ177" i="2" s="1"/>
  <c r="AK177" i="2" s="1"/>
  <c r="AF193" i="2"/>
  <c r="AJ193" i="2" s="1"/>
  <c r="AF209" i="2"/>
  <c r="AJ209" i="2" s="1"/>
  <c r="P215" i="2"/>
  <c r="U215" i="2" s="1"/>
  <c r="AE216" i="2"/>
  <c r="AF225" i="2"/>
  <c r="AJ225" i="2" s="1"/>
  <c r="P231" i="2"/>
  <c r="U231" i="2" s="1"/>
  <c r="AO231" i="2" s="1"/>
  <c r="AE232" i="2"/>
  <c r="AF241" i="2"/>
  <c r="AJ241" i="2" s="1"/>
  <c r="P247" i="2"/>
  <c r="U247" i="2" s="1"/>
  <c r="AE248" i="2"/>
  <c r="AG250" i="2"/>
  <c r="AF257" i="2"/>
  <c r="AJ257" i="2" s="1"/>
  <c r="P263" i="2"/>
  <c r="U263" i="2" s="1"/>
  <c r="AE264" i="2"/>
  <c r="AG266" i="2"/>
  <c r="AF273" i="2"/>
  <c r="AJ273" i="2" s="1"/>
  <c r="P279" i="2"/>
  <c r="U279" i="2" s="1"/>
  <c r="AE280" i="2"/>
  <c r="AF289" i="2"/>
  <c r="AJ289" i="2" s="1"/>
  <c r="AK289" i="2" s="1"/>
  <c r="AL289" i="2" s="1"/>
  <c r="AM289" i="2" s="1"/>
  <c r="P305" i="2"/>
  <c r="U305" i="2" s="1"/>
  <c r="AO305" i="2" s="1"/>
  <c r="AL314" i="2"/>
  <c r="AM314" i="2" s="1"/>
  <c r="AF317" i="2"/>
  <c r="AE317" i="2"/>
  <c r="AI317" i="2"/>
  <c r="AL317" i="2" s="1"/>
  <c r="AM317" i="2" s="1"/>
  <c r="AE320" i="2"/>
  <c r="AI328" i="2"/>
  <c r="AL328" i="2" s="1"/>
  <c r="AM328" i="2" s="1"/>
  <c r="AH328" i="2"/>
  <c r="AG328" i="2"/>
  <c r="AE328" i="2"/>
  <c r="W329" i="2"/>
  <c r="X329" i="2" s="1"/>
  <c r="Y329" i="2" s="1"/>
  <c r="AI334" i="2"/>
  <c r="AL334" i="2" s="1"/>
  <c r="AM334" i="2" s="1"/>
  <c r="AH334" i="2"/>
  <c r="AG334" i="2"/>
  <c r="AF334" i="2"/>
  <c r="X338" i="2"/>
  <c r="Y338" i="2" s="1"/>
  <c r="AE342" i="2"/>
  <c r="AE345" i="2"/>
  <c r="AF349" i="2"/>
  <c r="AH353" i="2"/>
  <c r="AF353" i="2"/>
  <c r="AE353" i="2"/>
  <c r="V353" i="2"/>
  <c r="W354" i="2"/>
  <c r="X354" i="2" s="1"/>
  <c r="Y354" i="2" s="1"/>
  <c r="AI369" i="2"/>
  <c r="W370" i="2"/>
  <c r="X370" i="2" s="1"/>
  <c r="Y370" i="2" s="1"/>
  <c r="W373" i="2"/>
  <c r="X373" i="2" s="1"/>
  <c r="Y373" i="2" s="1"/>
  <c r="AF376" i="2"/>
  <c r="W391" i="2"/>
  <c r="X391" i="2" s="1"/>
  <c r="Y391" i="2" s="1"/>
  <c r="W398" i="2"/>
  <c r="X398" i="2" s="1"/>
  <c r="Y398" i="2" s="1"/>
  <c r="AI401" i="2"/>
  <c r="AH401" i="2"/>
  <c r="AF401" i="2"/>
  <c r="AE401" i="2"/>
  <c r="V401" i="2"/>
  <c r="AE402" i="2"/>
  <c r="AH473" i="2"/>
  <c r="AG473" i="2"/>
  <c r="AF473" i="2"/>
  <c r="AE473" i="2"/>
  <c r="W476" i="2"/>
  <c r="X476" i="2" s="1"/>
  <c r="Y476" i="2" s="1"/>
  <c r="V249" i="2"/>
  <c r="W249" i="2" s="1"/>
  <c r="AH250" i="2"/>
  <c r="V265" i="2"/>
  <c r="AH266" i="2"/>
  <c r="V281" i="2"/>
  <c r="W281" i="2" s="1"/>
  <c r="AH282" i="2"/>
  <c r="Y299" i="2"/>
  <c r="W299" i="2"/>
  <c r="V300" i="2"/>
  <c r="X304" i="2"/>
  <c r="W304" i="2"/>
  <c r="W317" i="2"/>
  <c r="X317" i="2" s="1"/>
  <c r="Y317" i="2" s="1"/>
  <c r="AH369" i="2"/>
  <c r="AF369" i="2"/>
  <c r="AE369" i="2"/>
  <c r="V369" i="2"/>
  <c r="AI386" i="2"/>
  <c r="AL386" i="2" s="1"/>
  <c r="AM386" i="2" s="1"/>
  <c r="AG386" i="2"/>
  <c r="W388" i="2"/>
  <c r="X388" i="2" s="1"/>
  <c r="Y388" i="2" s="1"/>
  <c r="AL412" i="2"/>
  <c r="AM412" i="2" s="1"/>
  <c r="V504" i="2"/>
  <c r="W504" i="2" s="1"/>
  <c r="P504" i="2"/>
  <c r="U504" i="2" s="1"/>
  <c r="W540" i="2"/>
  <c r="X540" i="2" s="1"/>
  <c r="Y540" i="2" s="1"/>
  <c r="W542" i="2"/>
  <c r="X542" i="2" s="1"/>
  <c r="Y542" i="2" s="1"/>
  <c r="AF223" i="2"/>
  <c r="P245" i="2"/>
  <c r="U245" i="2" s="1"/>
  <c r="P261" i="2"/>
  <c r="U261" i="2" s="1"/>
  <c r="AE262" i="2"/>
  <c r="P277" i="2"/>
  <c r="U277" i="2" s="1"/>
  <c r="AE278" i="2"/>
  <c r="AF287" i="2"/>
  <c r="P293" i="2"/>
  <c r="U293" i="2" s="1"/>
  <c r="AJ298" i="2"/>
  <c r="X299" i="2"/>
  <c r="AG310" i="2"/>
  <c r="AE310" i="2"/>
  <c r="V310" i="2"/>
  <c r="W310" i="2" s="1"/>
  <c r="P310" i="2"/>
  <c r="U310" i="2" s="1"/>
  <c r="AO310" i="2" s="1"/>
  <c r="AL320" i="2"/>
  <c r="AM320" i="2" s="1"/>
  <c r="U329" i="2"/>
  <c r="AO329" i="2" s="1"/>
  <c r="AI329" i="2"/>
  <c r="AG329" i="2"/>
  <c r="AE331" i="2"/>
  <c r="AI354" i="2"/>
  <c r="AL354" i="2" s="1"/>
  <c r="AM354" i="2" s="1"/>
  <c r="AG354" i="2"/>
  <c r="W356" i="2"/>
  <c r="X356" i="2" s="1"/>
  <c r="Y356" i="2" s="1"/>
  <c r="P369" i="2"/>
  <c r="U369" i="2" s="1"/>
  <c r="AO369" i="2" s="1"/>
  <c r="AI370" i="2"/>
  <c r="AL370" i="2" s="1"/>
  <c r="AM370" i="2" s="1"/>
  <c r="AG370" i="2"/>
  <c r="W375" i="2"/>
  <c r="X375" i="2" s="1"/>
  <c r="Y375" i="2" s="1"/>
  <c r="W382" i="2"/>
  <c r="X382" i="2" s="1"/>
  <c r="Y382" i="2" s="1"/>
  <c r="AH385" i="2"/>
  <c r="AF385" i="2"/>
  <c r="AE385" i="2"/>
  <c r="V385" i="2"/>
  <c r="AE386" i="2"/>
  <c r="AI446" i="2"/>
  <c r="AH446" i="2"/>
  <c r="AG446" i="2"/>
  <c r="AF446" i="2"/>
  <c r="AE446" i="2"/>
  <c r="AH168" i="2"/>
  <c r="AJ168" i="2" s="1"/>
  <c r="AF182" i="2"/>
  <c r="AH184" i="2"/>
  <c r="AF198" i="2"/>
  <c r="AH200" i="2"/>
  <c r="P204" i="2"/>
  <c r="U204" i="2" s="1"/>
  <c r="W208" i="2"/>
  <c r="X208" i="2" s="1"/>
  <c r="Y208" i="2" s="1"/>
  <c r="AF214" i="2"/>
  <c r="V215" i="2"/>
  <c r="W215" i="2" s="1"/>
  <c r="AH216" i="2"/>
  <c r="P220" i="2"/>
  <c r="U220" i="2" s="1"/>
  <c r="AE221" i="2"/>
  <c r="W224" i="2"/>
  <c r="X224" i="2" s="1"/>
  <c r="Y224" i="2" s="1"/>
  <c r="AF230" i="2"/>
  <c r="V231" i="2"/>
  <c r="AH232" i="2"/>
  <c r="P236" i="2"/>
  <c r="U236" i="2" s="1"/>
  <c r="AO236" i="2" s="1"/>
  <c r="AE237" i="2"/>
  <c r="AG239" i="2"/>
  <c r="W240" i="2"/>
  <c r="X240" i="2" s="1"/>
  <c r="Y240" i="2" s="1"/>
  <c r="V247" i="2"/>
  <c r="W247" i="2" s="1"/>
  <c r="AH248" i="2"/>
  <c r="P252" i="2"/>
  <c r="U252" i="2" s="1"/>
  <c r="AE253" i="2"/>
  <c r="AG255" i="2"/>
  <c r="W256" i="2"/>
  <c r="X256" i="2" s="1"/>
  <c r="Y256" i="2" s="1"/>
  <c r="V263" i="2"/>
  <c r="AH264" i="2"/>
  <c r="P268" i="2"/>
  <c r="U268" i="2" s="1"/>
  <c r="AE269" i="2"/>
  <c r="AG271" i="2"/>
  <c r="W272" i="2"/>
  <c r="X272" i="2" s="1"/>
  <c r="Y272" i="2" s="1"/>
  <c r="AF278" i="2"/>
  <c r="V279" i="2"/>
  <c r="AH280" i="2"/>
  <c r="P284" i="2"/>
  <c r="U284" i="2" s="1"/>
  <c r="AE285" i="2"/>
  <c r="AG287" i="2"/>
  <c r="W288" i="2"/>
  <c r="X288" i="2" s="1"/>
  <c r="Y288" i="2" s="1"/>
  <c r="AG294" i="2"/>
  <c r="V296" i="2"/>
  <c r="W296" i="2" s="1"/>
  <c r="U297" i="2"/>
  <c r="W305" i="2"/>
  <c r="X305" i="2" s="1"/>
  <c r="Y305" i="2" s="1"/>
  <c r="AI316" i="2"/>
  <c r="AL316" i="2" s="1"/>
  <c r="AM316" i="2" s="1"/>
  <c r="AG316" i="2"/>
  <c r="AF316" i="2"/>
  <c r="AE316" i="2"/>
  <c r="X322" i="2"/>
  <c r="Y322" i="2" s="1"/>
  <c r="AI325" i="2"/>
  <c r="V328" i="2"/>
  <c r="W328" i="2" s="1"/>
  <c r="AF331" i="2"/>
  <c r="AE335" i="2"/>
  <c r="X345" i="2"/>
  <c r="Y345" i="2" s="1"/>
  <c r="W349" i="2"/>
  <c r="X349" i="2" s="1"/>
  <c r="Y349" i="2" s="1"/>
  <c r="AI352" i="2"/>
  <c r="AE354" i="2"/>
  <c r="AF365" i="2"/>
  <c r="AE370" i="2"/>
  <c r="W372" i="2"/>
  <c r="X372" i="2" s="1"/>
  <c r="Y372" i="2" s="1"/>
  <c r="AJ378" i="2"/>
  <c r="P385" i="2"/>
  <c r="U385" i="2" s="1"/>
  <c r="AF173" i="2"/>
  <c r="AH175" i="2"/>
  <c r="P179" i="2"/>
  <c r="U179" i="2" s="1"/>
  <c r="AO179" i="2" s="1"/>
  <c r="AE180" i="2"/>
  <c r="AG182" i="2"/>
  <c r="AF189" i="2"/>
  <c r="AH191" i="2"/>
  <c r="AE196" i="2"/>
  <c r="AF205" i="2"/>
  <c r="AH207" i="2"/>
  <c r="AE212" i="2"/>
  <c r="AF221" i="2"/>
  <c r="AH223" i="2"/>
  <c r="P227" i="2"/>
  <c r="U227" i="2" s="1"/>
  <c r="AE228" i="2"/>
  <c r="AF237" i="2"/>
  <c r="AH239" i="2"/>
  <c r="AE244" i="2"/>
  <c r="AG246" i="2"/>
  <c r="AF253" i="2"/>
  <c r="AH255" i="2"/>
  <c r="AE260" i="2"/>
  <c r="AG262" i="2"/>
  <c r="AF269" i="2"/>
  <c r="AH271" i="2"/>
  <c r="AE276" i="2"/>
  <c r="AG278" i="2"/>
  <c r="AF285" i="2"/>
  <c r="P291" i="2"/>
  <c r="U291" i="2" s="1"/>
  <c r="AE292" i="2"/>
  <c r="X297" i="2"/>
  <c r="Y297" i="2" s="1"/>
  <c r="AH303" i="2"/>
  <c r="AG303" i="2"/>
  <c r="AF303" i="2"/>
  <c r="V303" i="2"/>
  <c r="AH309" i="2"/>
  <c r="AI327" i="2"/>
  <c r="AF329" i="2"/>
  <c r="AF333" i="2"/>
  <c r="W334" i="2"/>
  <c r="X334" i="2" s="1"/>
  <c r="Y334" i="2" s="1"/>
  <c r="AI335" i="2"/>
  <c r="AL335" i="2" s="1"/>
  <c r="AM335" i="2" s="1"/>
  <c r="AI337" i="2"/>
  <c r="AH341" i="2"/>
  <c r="AI344" i="2"/>
  <c r="AL344" i="2" s="1"/>
  <c r="AM344" i="2" s="1"/>
  <c r="AH344" i="2"/>
  <c r="AG344" i="2"/>
  <c r="AE344" i="2"/>
  <c r="AI345" i="2"/>
  <c r="AL345" i="2" s="1"/>
  <c r="AM345" i="2" s="1"/>
  <c r="AG345" i="2"/>
  <c r="AF345" i="2"/>
  <c r="U397" i="2"/>
  <c r="U409" i="2"/>
  <c r="AO409" i="2" s="1"/>
  <c r="AI409" i="2"/>
  <c r="AH409" i="2"/>
  <c r="AG409" i="2"/>
  <c r="AF409" i="2"/>
  <c r="AE409" i="2"/>
  <c r="AF180" i="2"/>
  <c r="AH182" i="2"/>
  <c r="AF196" i="2"/>
  <c r="AH198" i="2"/>
  <c r="AF212" i="2"/>
  <c r="AH214" i="2"/>
  <c r="AF228" i="2"/>
  <c r="AF244" i="2"/>
  <c r="AH246" i="2"/>
  <c r="AF260" i="2"/>
  <c r="AF276" i="2"/>
  <c r="AF292" i="2"/>
  <c r="AH300" i="2"/>
  <c r="P309" i="2"/>
  <c r="U309" i="2" s="1"/>
  <c r="AG309" i="2"/>
  <c r="AE309" i="2"/>
  <c r="AI315" i="2"/>
  <c r="AL315" i="2" s="1"/>
  <c r="AM315" i="2" s="1"/>
  <c r="AG315" i="2"/>
  <c r="W323" i="2"/>
  <c r="X323" i="2" s="1"/>
  <c r="Y323" i="2" s="1"/>
  <c r="AF324" i="2"/>
  <c r="V327" i="2"/>
  <c r="W327" i="2" s="1"/>
  <c r="P327" i="2"/>
  <c r="U327" i="2" s="1"/>
  <c r="AO327" i="2" s="1"/>
  <c r="AG327" i="2"/>
  <c r="AE327" i="2"/>
  <c r="AH329" i="2"/>
  <c r="AH337" i="2"/>
  <c r="AF337" i="2"/>
  <c r="AE337" i="2"/>
  <c r="V337" i="2"/>
  <c r="P341" i="2"/>
  <c r="U341" i="2" s="1"/>
  <c r="AO341" i="2" s="1"/>
  <c r="AI341" i="2"/>
  <c r="AE341" i="2"/>
  <c r="AI348" i="2"/>
  <c r="AL348" i="2" s="1"/>
  <c r="AM348" i="2" s="1"/>
  <c r="AH348" i="2"/>
  <c r="AG348" i="2"/>
  <c r="AF348" i="2"/>
  <c r="AE348" i="2"/>
  <c r="AI368" i="2"/>
  <c r="AG390" i="2"/>
  <c r="W412" i="2"/>
  <c r="X412" i="2" s="1"/>
  <c r="Y412" i="2" s="1"/>
  <c r="W470" i="2"/>
  <c r="X470" i="2" s="1"/>
  <c r="Y470" i="2" s="1"/>
  <c r="AH173" i="2"/>
  <c r="AG180" i="2"/>
  <c r="AH189" i="2"/>
  <c r="AG196" i="2"/>
  <c r="AH205" i="2"/>
  <c r="AE210" i="2"/>
  <c r="AG212" i="2"/>
  <c r="AH221" i="2"/>
  <c r="AE226" i="2"/>
  <c r="AG228" i="2"/>
  <c r="AH237" i="2"/>
  <c r="AE242" i="2"/>
  <c r="AG244" i="2"/>
  <c r="AH253" i="2"/>
  <c r="AE258" i="2"/>
  <c r="AG260" i="2"/>
  <c r="AH269" i="2"/>
  <c r="AE274" i="2"/>
  <c r="AG276" i="2"/>
  <c r="AH285" i="2"/>
  <c r="AE290" i="2"/>
  <c r="AG292" i="2"/>
  <c r="AE295" i="2"/>
  <c r="Y304" i="2"/>
  <c r="AE305" i="2"/>
  <c r="AH321" i="2"/>
  <c r="V321" i="2"/>
  <c r="AG324" i="2"/>
  <c r="AF328" i="2"/>
  <c r="U333" i="2"/>
  <c r="AO333" i="2" s="1"/>
  <c r="P337" i="2"/>
  <c r="U337" i="2" s="1"/>
  <c r="AO337" i="2" s="1"/>
  <c r="AL346" i="2"/>
  <c r="AM346" i="2" s="1"/>
  <c r="AF358" i="2"/>
  <c r="AL366" i="2"/>
  <c r="AM366" i="2" s="1"/>
  <c r="AG369" i="2"/>
  <c r="AE390" i="2"/>
  <c r="AI408" i="2"/>
  <c r="AH408" i="2"/>
  <c r="AG408" i="2"/>
  <c r="AF408" i="2"/>
  <c r="AE408" i="2"/>
  <c r="W414" i="2"/>
  <c r="X414" i="2" s="1"/>
  <c r="Y414" i="2" s="1"/>
  <c r="AI536" i="2"/>
  <c r="AH536" i="2"/>
  <c r="AG536" i="2"/>
  <c r="AF536" i="2"/>
  <c r="AE536" i="2"/>
  <c r="AH180" i="2"/>
  <c r="AH196" i="2"/>
  <c r="AF210" i="2"/>
  <c r="AH212" i="2"/>
  <c r="AF226" i="2"/>
  <c r="AH228" i="2"/>
  <c r="AF242" i="2"/>
  <c r="AH244" i="2"/>
  <c r="AE249" i="2"/>
  <c r="AF258" i="2"/>
  <c r="AH260" i="2"/>
  <c r="AE265" i="2"/>
  <c r="AF274" i="2"/>
  <c r="AH276" i="2"/>
  <c r="AE281" i="2"/>
  <c r="AF290" i="2"/>
  <c r="AH292" i="2"/>
  <c r="AF294" i="2"/>
  <c r="AF295" i="2"/>
  <c r="AE296" i="2"/>
  <c r="AH299" i="2"/>
  <c r="V302" i="2"/>
  <c r="AI302" i="2"/>
  <c r="AH302" i="2"/>
  <c r="AG302" i="2"/>
  <c r="AF302" i="2"/>
  <c r="AG305" i="2"/>
  <c r="AH308" i="2"/>
  <c r="V309" i="2"/>
  <c r="AH310" i="2"/>
  <c r="AJ314" i="2"/>
  <c r="Y314" i="2"/>
  <c r="W316" i="2"/>
  <c r="X316" i="2" s="1"/>
  <c r="Y316" i="2" s="1"/>
  <c r="AG317" i="2"/>
  <c r="P321" i="2"/>
  <c r="U321" i="2" s="1"/>
  <c r="AO321" i="2" s="1"/>
  <c r="AI324" i="2"/>
  <c r="AL330" i="2"/>
  <c r="AM330" i="2" s="1"/>
  <c r="W333" i="2"/>
  <c r="X333" i="2" s="1"/>
  <c r="Y333" i="2" s="1"/>
  <c r="V341" i="2"/>
  <c r="V344" i="2"/>
  <c r="AH351" i="2"/>
  <c r="AG351" i="2"/>
  <c r="AF351" i="2"/>
  <c r="V351" i="2"/>
  <c r="AE358" i="2"/>
  <c r="W361" i="2"/>
  <c r="X361" i="2" s="1"/>
  <c r="Y361" i="2" s="1"/>
  <c r="AG374" i="2"/>
  <c r="W381" i="2"/>
  <c r="X381" i="2" s="1"/>
  <c r="Y381" i="2" s="1"/>
  <c r="AG385" i="2"/>
  <c r="Y393" i="2"/>
  <c r="X393" i="2"/>
  <c r="AI396" i="2"/>
  <c r="AL396" i="2" s="1"/>
  <c r="AM396" i="2" s="1"/>
  <c r="AH396" i="2"/>
  <c r="AG396" i="2"/>
  <c r="AF396" i="2"/>
  <c r="AE396" i="2"/>
  <c r="V408" i="2"/>
  <c r="W408" i="2" s="1"/>
  <c r="P408" i="2"/>
  <c r="U408" i="2" s="1"/>
  <c r="W443" i="2"/>
  <c r="X443" i="2" s="1"/>
  <c r="Y443" i="2" s="1"/>
  <c r="AG210" i="2"/>
  <c r="AG226" i="2"/>
  <c r="AG242" i="2"/>
  <c r="AF249" i="2"/>
  <c r="AG258" i="2"/>
  <c r="AF265" i="2"/>
  <c r="AG274" i="2"/>
  <c r="AF281" i="2"/>
  <c r="AG290" i="2"/>
  <c r="AG295" i="2"/>
  <c r="AF296" i="2"/>
  <c r="AF297" i="2"/>
  <c r="V308" i="2"/>
  <c r="P308" i="2"/>
  <c r="U308" i="2" s="1"/>
  <c r="AO308" i="2" s="1"/>
  <c r="AI310" i="2"/>
  <c r="V315" i="2"/>
  <c r="AF326" i="2"/>
  <c r="AI332" i="2"/>
  <c r="AL332" i="2" s="1"/>
  <c r="AM332" i="2" s="1"/>
  <c r="AG332" i="2"/>
  <c r="AF332" i="2"/>
  <c r="AE332" i="2"/>
  <c r="AI336" i="2"/>
  <c r="AL336" i="2" s="1"/>
  <c r="AM336" i="2" s="1"/>
  <c r="X352" i="2"/>
  <c r="Y352" i="2" s="1"/>
  <c r="AI364" i="2"/>
  <c r="AH364" i="2"/>
  <c r="AG364" i="2"/>
  <c r="AF364" i="2"/>
  <c r="AE364" i="2"/>
  <c r="AE374" i="2"/>
  <c r="W377" i="2"/>
  <c r="U393" i="2"/>
  <c r="AO393" i="2" s="1"/>
  <c r="AI393" i="2"/>
  <c r="AH393" i="2"/>
  <c r="AG393" i="2"/>
  <c r="AF393" i="2"/>
  <c r="AE393" i="2"/>
  <c r="AH399" i="2"/>
  <c r="AG399" i="2"/>
  <c r="AF399" i="2"/>
  <c r="V399" i="2"/>
  <c r="U400" i="2"/>
  <c r="AH405" i="2"/>
  <c r="W411" i="2"/>
  <c r="X411" i="2" s="1"/>
  <c r="Y411" i="2" s="1"/>
  <c r="AI416" i="2"/>
  <c r="AH416" i="2"/>
  <c r="AF416" i="2"/>
  <c r="AG416" i="2"/>
  <c r="AE416" i="2"/>
  <c r="AI424" i="2"/>
  <c r="AH424" i="2"/>
  <c r="AG424" i="2"/>
  <c r="AE424" i="2"/>
  <c r="AF424" i="2"/>
  <c r="V424" i="2"/>
  <c r="W424" i="2" s="1"/>
  <c r="AG296" i="2"/>
  <c r="AI312" i="2"/>
  <c r="AH312" i="2"/>
  <c r="AG312" i="2"/>
  <c r="AE312" i="2"/>
  <c r="W313" i="2"/>
  <c r="X313" i="2" s="1"/>
  <c r="Y313" i="2" s="1"/>
  <c r="AE326" i="2"/>
  <c r="V326" i="2"/>
  <c r="P326" i="2"/>
  <c r="U326" i="2" s="1"/>
  <c r="AE340" i="2"/>
  <c r="W348" i="2"/>
  <c r="X348" i="2" s="1"/>
  <c r="Y348" i="2" s="1"/>
  <c r="AG358" i="2"/>
  <c r="U361" i="2"/>
  <c r="AO361" i="2" s="1"/>
  <c r="AI361" i="2"/>
  <c r="AH361" i="2"/>
  <c r="AG361" i="2"/>
  <c r="AF361" i="2"/>
  <c r="AE361" i="2"/>
  <c r="AH367" i="2"/>
  <c r="AG367" i="2"/>
  <c r="AF367" i="2"/>
  <c r="V367" i="2"/>
  <c r="W367" i="2" s="1"/>
  <c r="U368" i="2"/>
  <c r="AO368" i="2" s="1"/>
  <c r="X377" i="2"/>
  <c r="Y377" i="2" s="1"/>
  <c r="AI380" i="2"/>
  <c r="AH380" i="2"/>
  <c r="AG380" i="2"/>
  <c r="AF380" i="2"/>
  <c r="AE380" i="2"/>
  <c r="AI392" i="2"/>
  <c r="AH392" i="2"/>
  <c r="AG392" i="2"/>
  <c r="AE392" i="2"/>
  <c r="AL394" i="2"/>
  <c r="AM394" i="2" s="1"/>
  <c r="P405" i="2"/>
  <c r="U405" i="2" s="1"/>
  <c r="AI405" i="2"/>
  <c r="AE405" i="2"/>
  <c r="AE297" i="2"/>
  <c r="AF306" i="2"/>
  <c r="AJ306" i="2" s="1"/>
  <c r="AF322" i="2"/>
  <c r="AH324" i="2"/>
  <c r="AI333" i="2"/>
  <c r="AF338" i="2"/>
  <c r="AH340" i="2"/>
  <c r="AI349" i="2"/>
  <c r="AL349" i="2" s="1"/>
  <c r="AM349" i="2" s="1"/>
  <c r="AF354" i="2"/>
  <c r="V355" i="2"/>
  <c r="W355" i="2" s="1"/>
  <c r="AH356" i="2"/>
  <c r="AG363" i="2"/>
  <c r="AI365" i="2"/>
  <c r="AF370" i="2"/>
  <c r="V371" i="2"/>
  <c r="AH372" i="2"/>
  <c r="AG379" i="2"/>
  <c r="AI381" i="2"/>
  <c r="AF386" i="2"/>
  <c r="V387" i="2"/>
  <c r="W387" i="2" s="1"/>
  <c r="AH388" i="2"/>
  <c r="AG395" i="2"/>
  <c r="AI397" i="2"/>
  <c r="AF402" i="2"/>
  <c r="V403" i="2"/>
  <c r="AH404" i="2"/>
  <c r="AG411" i="2"/>
  <c r="AI413" i="2"/>
  <c r="V416" i="2"/>
  <c r="AF420" i="2"/>
  <c r="AI421" i="2"/>
  <c r="W425" i="2"/>
  <c r="X425" i="2" s="1"/>
  <c r="Y425" i="2" s="1"/>
  <c r="AJ426" i="2"/>
  <c r="AH434" i="2"/>
  <c r="U441" i="2"/>
  <c r="V446" i="2"/>
  <c r="AI449" i="2"/>
  <c r="W454" i="2"/>
  <c r="X454" i="2" s="1"/>
  <c r="Y454" i="2" s="1"/>
  <c r="U457" i="2"/>
  <c r="W461" i="2"/>
  <c r="X461" i="2" s="1"/>
  <c r="Y461" i="2" s="1"/>
  <c r="W464" i="2"/>
  <c r="X464" i="2" s="1"/>
  <c r="Y464" i="2" s="1"/>
  <c r="AI472" i="2"/>
  <c r="AH472" i="2"/>
  <c r="AG472" i="2"/>
  <c r="AF472" i="2"/>
  <c r="AE472" i="2"/>
  <c r="W484" i="2"/>
  <c r="X484" i="2" s="1"/>
  <c r="Y484" i="2" s="1"/>
  <c r="AG496" i="2"/>
  <c r="AF496" i="2"/>
  <c r="AE496" i="2"/>
  <c r="W516" i="2"/>
  <c r="X516" i="2" s="1"/>
  <c r="Y516" i="2" s="1"/>
  <c r="AH527" i="2"/>
  <c r="AG527" i="2"/>
  <c r="AF527" i="2"/>
  <c r="AE527" i="2"/>
  <c r="V536" i="2"/>
  <c r="P536" i="2"/>
  <c r="U536" i="2" s="1"/>
  <c r="AI356" i="2"/>
  <c r="AH363" i="2"/>
  <c r="AI372" i="2"/>
  <c r="AH379" i="2"/>
  <c r="AI388" i="2"/>
  <c r="AH395" i="2"/>
  <c r="AI404" i="2"/>
  <c r="AH411" i="2"/>
  <c r="AI417" i="2"/>
  <c r="AH417" i="2"/>
  <c r="W427" i="2"/>
  <c r="X427" i="2" s="1"/>
  <c r="Y427" i="2" s="1"/>
  <c r="W432" i="2"/>
  <c r="X432" i="2" s="1"/>
  <c r="Y432" i="2" s="1"/>
  <c r="AG434" i="2"/>
  <c r="AF434" i="2"/>
  <c r="AG449" i="2"/>
  <c r="AF449" i="2"/>
  <c r="V449" i="2"/>
  <c r="V472" i="2"/>
  <c r="P472" i="2"/>
  <c r="U472" i="2" s="1"/>
  <c r="W475" i="2"/>
  <c r="X475" i="2" s="1"/>
  <c r="Y475" i="2" s="1"/>
  <c r="X512" i="2"/>
  <c r="Y512" i="2" s="1"/>
  <c r="X539" i="2"/>
  <c r="Y539" i="2" s="1"/>
  <c r="W539" i="2"/>
  <c r="AI606" i="2"/>
  <c r="AH606" i="2"/>
  <c r="AG606" i="2"/>
  <c r="AF606" i="2"/>
  <c r="AE606" i="2"/>
  <c r="V606" i="2"/>
  <c r="W606" i="2" s="1"/>
  <c r="P606" i="2"/>
  <c r="U606" i="2" s="1"/>
  <c r="AF304" i="2"/>
  <c r="AE311" i="2"/>
  <c r="AF320" i="2"/>
  <c r="AH322" i="2"/>
  <c r="AH338" i="2"/>
  <c r="P342" i="2"/>
  <c r="U342" i="2" s="1"/>
  <c r="AE343" i="2"/>
  <c r="AH354" i="2"/>
  <c r="P358" i="2"/>
  <c r="U358" i="2" s="1"/>
  <c r="AO358" i="2" s="1"/>
  <c r="AE359" i="2"/>
  <c r="AI363" i="2"/>
  <c r="AH370" i="2"/>
  <c r="P374" i="2"/>
  <c r="U374" i="2" s="1"/>
  <c r="AO374" i="2" s="1"/>
  <c r="AE375" i="2"/>
  <c r="AI379" i="2"/>
  <c r="AL379" i="2" s="1"/>
  <c r="AM379" i="2" s="1"/>
  <c r="AH386" i="2"/>
  <c r="P390" i="2"/>
  <c r="U390" i="2" s="1"/>
  <c r="AO390" i="2" s="1"/>
  <c r="AE391" i="2"/>
  <c r="AI395" i="2"/>
  <c r="AL395" i="2" s="1"/>
  <c r="AM395" i="2" s="1"/>
  <c r="AH402" i="2"/>
  <c r="P406" i="2"/>
  <c r="U406" i="2" s="1"/>
  <c r="AE407" i="2"/>
  <c r="AI411" i="2"/>
  <c r="AL411" i="2" s="1"/>
  <c r="AM411" i="2" s="1"/>
  <c r="AE414" i="2"/>
  <c r="V417" i="2"/>
  <c r="AI423" i="2"/>
  <c r="AH423" i="2"/>
  <c r="AG423" i="2"/>
  <c r="AE423" i="2"/>
  <c r="AG425" i="2"/>
  <c r="AF425" i="2"/>
  <c r="W428" i="2"/>
  <c r="X428" i="2" s="1"/>
  <c r="Y428" i="2" s="1"/>
  <c r="AE434" i="2"/>
  <c r="AG437" i="2"/>
  <c r="P449" i="2"/>
  <c r="U449" i="2" s="1"/>
  <c r="AG464" i="2"/>
  <c r="AF464" i="2"/>
  <c r="AE464" i="2"/>
  <c r="AH495" i="2"/>
  <c r="AG495" i="2"/>
  <c r="AF495" i="2"/>
  <c r="AE495" i="2"/>
  <c r="U512" i="2"/>
  <c r="W527" i="2"/>
  <c r="X527" i="2" s="1"/>
  <c r="Y527" i="2" s="1"/>
  <c r="AI529" i="2"/>
  <c r="AI544" i="2"/>
  <c r="W548" i="2"/>
  <c r="X548" i="2" s="1"/>
  <c r="Y548" i="2" s="1"/>
  <c r="V423" i="2"/>
  <c r="P423" i="2"/>
  <c r="U423" i="2" s="1"/>
  <c r="AI440" i="2"/>
  <c r="AH440" i="2"/>
  <c r="AG440" i="2"/>
  <c r="AF440" i="2"/>
  <c r="AE440" i="2"/>
  <c r="AG441" i="2"/>
  <c r="AF441" i="2"/>
  <c r="AE441" i="2"/>
  <c r="AH450" i="2"/>
  <c r="AG450" i="2"/>
  <c r="AF450" i="2"/>
  <c r="AI456" i="2"/>
  <c r="AH456" i="2"/>
  <c r="AG456" i="2"/>
  <c r="AF456" i="2"/>
  <c r="AE456" i="2"/>
  <c r="AG457" i="2"/>
  <c r="AF457" i="2"/>
  <c r="AE457" i="2"/>
  <c r="W509" i="2"/>
  <c r="X509" i="2" s="1"/>
  <c r="Y509" i="2" s="1"/>
  <c r="AH529" i="2"/>
  <c r="AG529" i="2"/>
  <c r="AF529" i="2"/>
  <c r="AE529" i="2"/>
  <c r="V529" i="2"/>
  <c r="AH304" i="2"/>
  <c r="AG343" i="2"/>
  <c r="AF350" i="2"/>
  <c r="P356" i="2"/>
  <c r="U356" i="2" s="1"/>
  <c r="AO356" i="2" s="1"/>
  <c r="AG359" i="2"/>
  <c r="AF366" i="2"/>
  <c r="P372" i="2"/>
  <c r="U372" i="2" s="1"/>
  <c r="AO372" i="2" s="1"/>
  <c r="AG375" i="2"/>
  <c r="Y378" i="2"/>
  <c r="AF382" i="2"/>
  <c r="P388" i="2"/>
  <c r="U388" i="2" s="1"/>
  <c r="AG391" i="2"/>
  <c r="Y394" i="2"/>
  <c r="AK394" i="2" s="1"/>
  <c r="AF398" i="2"/>
  <c r="P404" i="2"/>
  <c r="U404" i="2" s="1"/>
  <c r="AG407" i="2"/>
  <c r="AH414" i="2"/>
  <c r="W445" i="2"/>
  <c r="X445" i="2" s="1"/>
  <c r="Y445" i="2" s="1"/>
  <c r="AE450" i="2"/>
  <c r="AI460" i="2"/>
  <c r="AH463" i="2"/>
  <c r="AG463" i="2"/>
  <c r="AF463" i="2"/>
  <c r="AE463" i="2"/>
  <c r="AH489" i="2"/>
  <c r="AG489" i="2"/>
  <c r="AF489" i="2"/>
  <c r="AE489" i="2"/>
  <c r="W495" i="2"/>
  <c r="X495" i="2" s="1"/>
  <c r="Y495" i="2" s="1"/>
  <c r="AH498" i="2"/>
  <c r="AG498" i="2"/>
  <c r="AF498" i="2"/>
  <c r="W501" i="2"/>
  <c r="X501" i="2" s="1"/>
  <c r="Y501" i="2" s="1"/>
  <c r="AI521" i="2"/>
  <c r="AH521" i="2"/>
  <c r="AG521" i="2"/>
  <c r="AF521" i="2"/>
  <c r="AE521" i="2"/>
  <c r="P529" i="2"/>
  <c r="U529" i="2" s="1"/>
  <c r="AH530" i="2"/>
  <c r="AG530" i="2"/>
  <c r="AF530" i="2"/>
  <c r="X533" i="2"/>
  <c r="Y533" i="2" s="1"/>
  <c r="AG563" i="2"/>
  <c r="AF563" i="2"/>
  <c r="AI563" i="2"/>
  <c r="AH563" i="2"/>
  <c r="AE563" i="2"/>
  <c r="W616" i="2"/>
  <c r="X616" i="2" s="1"/>
  <c r="Y616" i="2" s="1"/>
  <c r="AI304" i="2"/>
  <c r="AF309" i="2"/>
  <c r="AH311" i="2"/>
  <c r="AF325" i="2"/>
  <c r="AH327" i="2"/>
  <c r="AF341" i="2"/>
  <c r="V342" i="2"/>
  <c r="AH343" i="2"/>
  <c r="AG350" i="2"/>
  <c r="AF357" i="2"/>
  <c r="V358" i="2"/>
  <c r="W358" i="2" s="1"/>
  <c r="AH359" i="2"/>
  <c r="AG366" i="2"/>
  <c r="AF373" i="2"/>
  <c r="V374" i="2"/>
  <c r="W374" i="2" s="1"/>
  <c r="AH375" i="2"/>
  <c r="AG382" i="2"/>
  <c r="AF389" i="2"/>
  <c r="V390" i="2"/>
  <c r="AH391" i="2"/>
  <c r="AG398" i="2"/>
  <c r="AF405" i="2"/>
  <c r="V406" i="2"/>
  <c r="AH407" i="2"/>
  <c r="AE412" i="2"/>
  <c r="AG422" i="2"/>
  <c r="AF422" i="2"/>
  <c r="AE422" i="2"/>
  <c r="AH425" i="2"/>
  <c r="AE427" i="2"/>
  <c r="AH431" i="2"/>
  <c r="AG431" i="2"/>
  <c r="AF431" i="2"/>
  <c r="AH441" i="2"/>
  <c r="AI448" i="2"/>
  <c r="AI450" i="2"/>
  <c r="AH457" i="2"/>
  <c r="V463" i="2"/>
  <c r="W463" i="2" s="1"/>
  <c r="U480" i="2"/>
  <c r="AJ483" i="2"/>
  <c r="W486" i="2"/>
  <c r="X486" i="2" s="1"/>
  <c r="Y486" i="2" s="1"/>
  <c r="AG497" i="2"/>
  <c r="AF497" i="2"/>
  <c r="AE497" i="2"/>
  <c r="V497" i="2"/>
  <c r="AE498" i="2"/>
  <c r="W503" i="2"/>
  <c r="X503" i="2" s="1"/>
  <c r="Y503" i="2" s="1"/>
  <c r="AH512" i="2"/>
  <c r="AG512" i="2"/>
  <c r="AF512" i="2"/>
  <c r="AE512" i="2"/>
  <c r="AJ515" i="2"/>
  <c r="W524" i="2"/>
  <c r="X524" i="2" s="1"/>
  <c r="Y524" i="2" s="1"/>
  <c r="AI527" i="2"/>
  <c r="W541" i="2"/>
  <c r="X541" i="2" s="1"/>
  <c r="Y541" i="2" s="1"/>
  <c r="W544" i="2"/>
  <c r="X544" i="2" s="1"/>
  <c r="Y544" i="2" s="1"/>
  <c r="V563" i="2"/>
  <c r="P563" i="2"/>
  <c r="U563" i="2" s="1"/>
  <c r="AE307" i="2"/>
  <c r="AE323" i="2"/>
  <c r="AG325" i="2"/>
  <c r="AE339" i="2"/>
  <c r="AG341" i="2"/>
  <c r="AH350" i="2"/>
  <c r="AE355" i="2"/>
  <c r="AG357" i="2"/>
  <c r="AH366" i="2"/>
  <c r="AE371" i="2"/>
  <c r="AG373" i="2"/>
  <c r="AH382" i="2"/>
  <c r="AE387" i="2"/>
  <c r="AG389" i="2"/>
  <c r="AH398" i="2"/>
  <c r="AE403" i="2"/>
  <c r="AG405" i="2"/>
  <c r="AF412" i="2"/>
  <c r="V422" i="2"/>
  <c r="W422" i="2" s="1"/>
  <c r="AF427" i="2"/>
  <c r="V431" i="2"/>
  <c r="W437" i="2"/>
  <c r="X437" i="2" s="1"/>
  <c r="Y437" i="2" s="1"/>
  <c r="V440" i="2"/>
  <c r="W440" i="2" s="1"/>
  <c r="X448" i="2"/>
  <c r="Y448" i="2" s="1"/>
  <c r="V456" i="2"/>
  <c r="W456" i="2" s="1"/>
  <c r="AI465" i="2"/>
  <c r="AI466" i="2"/>
  <c r="AH466" i="2"/>
  <c r="AG466" i="2"/>
  <c r="AF466" i="2"/>
  <c r="W469" i="2"/>
  <c r="X469" i="2" s="1"/>
  <c r="Y469" i="2" s="1"/>
  <c r="AJ474" i="2"/>
  <c r="W477" i="2"/>
  <c r="X477" i="2" s="1"/>
  <c r="Y477" i="2" s="1"/>
  <c r="W480" i="2"/>
  <c r="X480" i="2" s="1"/>
  <c r="Y480" i="2" s="1"/>
  <c r="AI488" i="2"/>
  <c r="AH488" i="2"/>
  <c r="AG488" i="2"/>
  <c r="AF488" i="2"/>
  <c r="AE488" i="2"/>
  <c r="P497" i="2"/>
  <c r="U497" i="2" s="1"/>
  <c r="AI505" i="2"/>
  <c r="AI520" i="2"/>
  <c r="AH520" i="2"/>
  <c r="AG520" i="2"/>
  <c r="AF520" i="2"/>
  <c r="AE520" i="2"/>
  <c r="Y526" i="2"/>
  <c r="AF307" i="2"/>
  <c r="AF323" i="2"/>
  <c r="AF339" i="2"/>
  <c r="AF355" i="2"/>
  <c r="AF371" i="2"/>
  <c r="AF387" i="2"/>
  <c r="AF403" i="2"/>
  <c r="AG412" i="2"/>
  <c r="AF414" i="2"/>
  <c r="AG415" i="2"/>
  <c r="AG421" i="2"/>
  <c r="AI430" i="2"/>
  <c r="AH430" i="2"/>
  <c r="AG430" i="2"/>
  <c r="AF430" i="2"/>
  <c r="U448" i="2"/>
  <c r="AE449" i="2"/>
  <c r="AG465" i="2"/>
  <c r="AF465" i="2"/>
  <c r="AE465" i="2"/>
  <c r="V465" i="2"/>
  <c r="V488" i="2"/>
  <c r="P488" i="2"/>
  <c r="U488" i="2" s="1"/>
  <c r="W491" i="2"/>
  <c r="X491" i="2" s="1"/>
  <c r="Y491" i="2" s="1"/>
  <c r="W492" i="2"/>
  <c r="X492" i="2" s="1"/>
  <c r="Y492" i="2" s="1"/>
  <c r="AH511" i="2"/>
  <c r="AG511" i="2"/>
  <c r="AF511" i="2"/>
  <c r="AE511" i="2"/>
  <c r="V520" i="2"/>
  <c r="W520" i="2" s="1"/>
  <c r="P520" i="2"/>
  <c r="U520" i="2" s="1"/>
  <c r="U544" i="2"/>
  <c r="AH544" i="2"/>
  <c r="AG544" i="2"/>
  <c r="AF544" i="2"/>
  <c r="AE544" i="2"/>
  <c r="AE420" i="2"/>
  <c r="P420" i="2"/>
  <c r="U420" i="2" s="1"/>
  <c r="AI420" i="2"/>
  <c r="AE436" i="2"/>
  <c r="V436" i="2"/>
  <c r="P436" i="2"/>
  <c r="U436" i="2" s="1"/>
  <c r="AI436" i="2"/>
  <c r="AH436" i="2"/>
  <c r="V459" i="2"/>
  <c r="AI459" i="2"/>
  <c r="AH459" i="2"/>
  <c r="AG459" i="2"/>
  <c r="AG480" i="2"/>
  <c r="AF480" i="2"/>
  <c r="AE480" i="2"/>
  <c r="W500" i="2"/>
  <c r="X500" i="2" s="1"/>
  <c r="Y500" i="2" s="1"/>
  <c r="W523" i="2"/>
  <c r="X523" i="2" s="1"/>
  <c r="Y523" i="2" s="1"/>
  <c r="W550" i="2"/>
  <c r="X550" i="2" s="1"/>
  <c r="Y550" i="2" s="1"/>
  <c r="AF305" i="2"/>
  <c r="AF321" i="2"/>
  <c r="P343" i="2"/>
  <c r="U343" i="2" s="1"/>
  <c r="P359" i="2"/>
  <c r="U359" i="2" s="1"/>
  <c r="AO359" i="2" s="1"/>
  <c r="P375" i="2"/>
  <c r="U375" i="2" s="1"/>
  <c r="P391" i="2"/>
  <c r="U391" i="2" s="1"/>
  <c r="P407" i="2"/>
  <c r="U407" i="2" s="1"/>
  <c r="P414" i="2"/>
  <c r="U414" i="2" s="1"/>
  <c r="AE417" i="2"/>
  <c r="AH418" i="2"/>
  <c r="AJ419" i="2"/>
  <c r="AF423" i="2"/>
  <c r="V439" i="2"/>
  <c r="P439" i="2"/>
  <c r="U439" i="2" s="1"/>
  <c r="AI443" i="2"/>
  <c r="AH443" i="2"/>
  <c r="AG443" i="2"/>
  <c r="V452" i="2"/>
  <c r="P452" i="2"/>
  <c r="U452" i="2" s="1"/>
  <c r="AI452" i="2"/>
  <c r="AH452" i="2"/>
  <c r="W460" i="2"/>
  <c r="X460" i="2" s="1"/>
  <c r="Y460" i="2" s="1"/>
  <c r="AI473" i="2"/>
  <c r="W511" i="2"/>
  <c r="X511" i="2" s="1"/>
  <c r="Y511" i="2" s="1"/>
  <c r="AI513" i="2"/>
  <c r="AI528" i="2"/>
  <c r="W532" i="2"/>
  <c r="X532" i="2" s="1"/>
  <c r="Y532" i="2" s="1"/>
  <c r="AH543" i="2"/>
  <c r="AG543" i="2"/>
  <c r="AF543" i="2"/>
  <c r="AE543" i="2"/>
  <c r="AF417" i="2"/>
  <c r="V420" i="2"/>
  <c r="V421" i="2"/>
  <c r="AF429" i="2"/>
  <c r="AF448" i="2"/>
  <c r="AE448" i="2"/>
  <c r="V455" i="2"/>
  <c r="P455" i="2"/>
  <c r="U455" i="2" s="1"/>
  <c r="W468" i="2"/>
  <c r="X468" i="2" s="1"/>
  <c r="Y468" i="2" s="1"/>
  <c r="AH479" i="2"/>
  <c r="AG479" i="2"/>
  <c r="AF479" i="2"/>
  <c r="AE479" i="2"/>
  <c r="AH513" i="2"/>
  <c r="AG513" i="2"/>
  <c r="AF513" i="2"/>
  <c r="AE513" i="2"/>
  <c r="V513" i="2"/>
  <c r="V543" i="2"/>
  <c r="W543" i="2" s="1"/>
  <c r="AF549" i="2"/>
  <c r="AG611" i="2"/>
  <c r="AF611" i="2"/>
  <c r="AE611" i="2"/>
  <c r="AI611" i="2"/>
  <c r="AH611" i="2"/>
  <c r="AH305" i="2"/>
  <c r="AG417" i="2"/>
  <c r="AE418" i="2"/>
  <c r="W429" i="2"/>
  <c r="X429" i="2" s="1"/>
  <c r="Y429" i="2" s="1"/>
  <c r="W430" i="2"/>
  <c r="X430" i="2" s="1"/>
  <c r="Y430" i="2" s="1"/>
  <c r="AE431" i="2"/>
  <c r="AJ435" i="2"/>
  <c r="AH447" i="2"/>
  <c r="AG447" i="2"/>
  <c r="AF447" i="2"/>
  <c r="AE447" i="2"/>
  <c r="U473" i="2"/>
  <c r="W494" i="2"/>
  <c r="X494" i="2" s="1"/>
  <c r="Y494" i="2" s="1"/>
  <c r="AI496" i="2"/>
  <c r="AH505" i="2"/>
  <c r="AG505" i="2"/>
  <c r="AF505" i="2"/>
  <c r="AE505" i="2"/>
  <c r="AH514" i="2"/>
  <c r="AG514" i="2"/>
  <c r="AF514" i="2"/>
  <c r="U528" i="2"/>
  <c r="AI545" i="2"/>
  <c r="W320" i="2"/>
  <c r="X320" i="2" s="1"/>
  <c r="Y320" i="2" s="1"/>
  <c r="AE333" i="2"/>
  <c r="AE349" i="2"/>
  <c r="AE365" i="2"/>
  <c r="AF374" i="2"/>
  <c r="AE381" i="2"/>
  <c r="AF390" i="2"/>
  <c r="AE397" i="2"/>
  <c r="AF406" i="2"/>
  <c r="AE413" i="2"/>
  <c r="AJ413" i="2" s="1"/>
  <c r="AF415" i="2"/>
  <c r="AF418" i="2"/>
  <c r="AI427" i="2"/>
  <c r="AH427" i="2"/>
  <c r="AI428" i="2"/>
  <c r="AG428" i="2"/>
  <c r="AF428" i="2"/>
  <c r="AE428" i="2"/>
  <c r="U429" i="2"/>
  <c r="W444" i="2"/>
  <c r="X444" i="2" s="1"/>
  <c r="Y444" i="2" s="1"/>
  <c r="V447" i="2"/>
  <c r="W447" i="2" s="1"/>
  <c r="AG448" i="2"/>
  <c r="AJ458" i="2"/>
  <c r="W479" i="2"/>
  <c r="X479" i="2" s="1"/>
  <c r="Y479" i="2" s="1"/>
  <c r="AH482" i="2"/>
  <c r="AG482" i="2"/>
  <c r="AF482" i="2"/>
  <c r="W485" i="2"/>
  <c r="X485" i="2" s="1"/>
  <c r="Y485" i="2" s="1"/>
  <c r="AJ490" i="2"/>
  <c r="X496" i="2"/>
  <c r="Y496" i="2" s="1"/>
  <c r="W502" i="2"/>
  <c r="X502" i="2" s="1"/>
  <c r="Y502" i="2" s="1"/>
  <c r="W508" i="2"/>
  <c r="X508" i="2" s="1"/>
  <c r="Y508" i="2" s="1"/>
  <c r="AI511" i="2"/>
  <c r="AE514" i="2"/>
  <c r="W517" i="2"/>
  <c r="X517" i="2" s="1"/>
  <c r="Y517" i="2" s="1"/>
  <c r="W525" i="2"/>
  <c r="X525" i="2" s="1"/>
  <c r="Y525" i="2" s="1"/>
  <c r="AH545" i="2"/>
  <c r="AG545" i="2"/>
  <c r="AF545" i="2"/>
  <c r="AE545" i="2"/>
  <c r="V545" i="2"/>
  <c r="U549" i="2"/>
  <c r="V415" i="2"/>
  <c r="AG418" i="2"/>
  <c r="AI422" i="2"/>
  <c r="AI425" i="2"/>
  <c r="X433" i="2"/>
  <c r="Y433" i="2" s="1"/>
  <c r="AF436" i="2"/>
  <c r="AJ442" i="2"/>
  <c r="AJ451" i="2"/>
  <c r="W462" i="2"/>
  <c r="X462" i="2" s="1"/>
  <c r="Y462" i="2" s="1"/>
  <c r="AI464" i="2"/>
  <c r="AG481" i="2"/>
  <c r="AF481" i="2"/>
  <c r="AE481" i="2"/>
  <c r="V481" i="2"/>
  <c r="AE482" i="2"/>
  <c r="U496" i="2"/>
  <c r="AJ499" i="2"/>
  <c r="AI504" i="2"/>
  <c r="AH504" i="2"/>
  <c r="AG504" i="2"/>
  <c r="AF504" i="2"/>
  <c r="AE504" i="2"/>
  <c r="Y510" i="2"/>
  <c r="AI537" i="2"/>
  <c r="AH537" i="2"/>
  <c r="AG537" i="2"/>
  <c r="AF537" i="2"/>
  <c r="AE537" i="2"/>
  <c r="P545" i="2"/>
  <c r="U545" i="2" s="1"/>
  <c r="AH546" i="2"/>
  <c r="AG546" i="2"/>
  <c r="AF546" i="2"/>
  <c r="AH468" i="2"/>
  <c r="AG475" i="2"/>
  <c r="AH484" i="2"/>
  <c r="AG491" i="2"/>
  <c r="AH500" i="2"/>
  <c r="AG507" i="2"/>
  <c r="AH516" i="2"/>
  <c r="AG523" i="2"/>
  <c r="AH532" i="2"/>
  <c r="AG539" i="2"/>
  <c r="AH548" i="2"/>
  <c r="AH560" i="2"/>
  <c r="AF560" i="2"/>
  <c r="AE560" i="2"/>
  <c r="AE561" i="2"/>
  <c r="V561" i="2"/>
  <c r="AG561" i="2"/>
  <c r="P569" i="2"/>
  <c r="U569" i="2" s="1"/>
  <c r="V569" i="2"/>
  <c r="AG580" i="2"/>
  <c r="AE580" i="2"/>
  <c r="AJ583" i="2"/>
  <c r="W583" i="2"/>
  <c r="X583" i="2" s="1"/>
  <c r="Y583" i="2" s="1"/>
  <c r="AF586" i="2"/>
  <c r="AE586" i="2"/>
  <c r="AH586" i="2"/>
  <c r="V595" i="2"/>
  <c r="AI597" i="2"/>
  <c r="AH597" i="2"/>
  <c r="AG597" i="2"/>
  <c r="AF597" i="2"/>
  <c r="AE597" i="2"/>
  <c r="AI598" i="2"/>
  <c r="AG598" i="2"/>
  <c r="AF598" i="2"/>
  <c r="V611" i="2"/>
  <c r="W611" i="2" s="1"/>
  <c r="AI613" i="2"/>
  <c r="AH613" i="2"/>
  <c r="AG613" i="2"/>
  <c r="AF613" i="2"/>
  <c r="AE613" i="2"/>
  <c r="AI614" i="2"/>
  <c r="AG614" i="2"/>
  <c r="AF614" i="2"/>
  <c r="P431" i="2"/>
  <c r="U431" i="2" s="1"/>
  <c r="P447" i="2"/>
  <c r="U447" i="2" s="1"/>
  <c r="P463" i="2"/>
  <c r="U463" i="2" s="1"/>
  <c r="AI468" i="2"/>
  <c r="AH475" i="2"/>
  <c r="P479" i="2"/>
  <c r="U479" i="2" s="1"/>
  <c r="AI484" i="2"/>
  <c r="AH491" i="2"/>
  <c r="P495" i="2"/>
  <c r="U495" i="2" s="1"/>
  <c r="AI500" i="2"/>
  <c r="AH507" i="2"/>
  <c r="P511" i="2"/>
  <c r="U511" i="2" s="1"/>
  <c r="AI516" i="2"/>
  <c r="AH523" i="2"/>
  <c r="P527" i="2"/>
  <c r="U527" i="2" s="1"/>
  <c r="AI532" i="2"/>
  <c r="AH539" i="2"/>
  <c r="P543" i="2"/>
  <c r="U543" i="2" s="1"/>
  <c r="AI548" i="2"/>
  <c r="AE549" i="2"/>
  <c r="AJ551" i="2"/>
  <c r="AH556" i="2"/>
  <c r="AG556" i="2"/>
  <c r="AF572" i="2"/>
  <c r="AE572" i="2"/>
  <c r="V572" i="2"/>
  <c r="W572" i="2" s="1"/>
  <c r="V586" i="2"/>
  <c r="W586" i="2" s="1"/>
  <c r="X592" i="2"/>
  <c r="Y592" i="2" s="1"/>
  <c r="X597" i="2"/>
  <c r="Y597" i="2" s="1"/>
  <c r="AH620" i="2"/>
  <c r="AE620" i="2"/>
  <c r="AI620" i="2"/>
  <c r="AG620" i="2"/>
  <c r="AF620" i="2"/>
  <c r="P422" i="2"/>
  <c r="U422" i="2" s="1"/>
  <c r="AF432" i="2"/>
  <c r="AJ432" i="2" s="1"/>
  <c r="P438" i="2"/>
  <c r="U438" i="2" s="1"/>
  <c r="AE439" i="2"/>
  <c r="X451" i="2"/>
  <c r="Y451" i="2" s="1"/>
  <c r="P454" i="2"/>
  <c r="U454" i="2" s="1"/>
  <c r="AE455" i="2"/>
  <c r="P470" i="2"/>
  <c r="U470" i="2" s="1"/>
  <c r="AE471" i="2"/>
  <c r="AI475" i="2"/>
  <c r="X483" i="2"/>
  <c r="Y483" i="2" s="1"/>
  <c r="P486" i="2"/>
  <c r="U486" i="2" s="1"/>
  <c r="AE487" i="2"/>
  <c r="AI491" i="2"/>
  <c r="P502" i="2"/>
  <c r="U502" i="2" s="1"/>
  <c r="AE503" i="2"/>
  <c r="AI507" i="2"/>
  <c r="P518" i="2"/>
  <c r="U518" i="2" s="1"/>
  <c r="AE519" i="2"/>
  <c r="AI523" i="2"/>
  <c r="P534" i="2"/>
  <c r="U534" i="2" s="1"/>
  <c r="AE535" i="2"/>
  <c r="AI539" i="2"/>
  <c r="AI553" i="2"/>
  <c r="AF553" i="2"/>
  <c r="AE553" i="2"/>
  <c r="AI555" i="2"/>
  <c r="AH555" i="2"/>
  <c r="AG555" i="2"/>
  <c r="AE555" i="2"/>
  <c r="AI558" i="2"/>
  <c r="AI559" i="2"/>
  <c r="AE559" i="2"/>
  <c r="P572" i="2"/>
  <c r="U572" i="2" s="1"/>
  <c r="AG579" i="2"/>
  <c r="AF579" i="2"/>
  <c r="AE579" i="2"/>
  <c r="AI579" i="2"/>
  <c r="AE598" i="2"/>
  <c r="AE614" i="2"/>
  <c r="V620" i="2"/>
  <c r="AF554" i="2"/>
  <c r="AE554" i="2"/>
  <c r="W562" i="2"/>
  <c r="X562" i="2" s="1"/>
  <c r="Y562" i="2" s="1"/>
  <c r="V579" i="2"/>
  <c r="P579" i="2"/>
  <c r="U579" i="2" s="1"/>
  <c r="AI654" i="2"/>
  <c r="AH654" i="2"/>
  <c r="AG654" i="2"/>
  <c r="AF654" i="2"/>
  <c r="AE654" i="2"/>
  <c r="V654" i="2"/>
  <c r="P654" i="2"/>
  <c r="U654" i="2" s="1"/>
  <c r="AO654" i="2" s="1"/>
  <c r="AE421" i="2"/>
  <c r="AH432" i="2"/>
  <c r="AE437" i="2"/>
  <c r="AG439" i="2"/>
  <c r="AH448" i="2"/>
  <c r="AE453" i="2"/>
  <c r="AG455" i="2"/>
  <c r="AF462" i="2"/>
  <c r="AH464" i="2"/>
  <c r="P468" i="2"/>
  <c r="U468" i="2" s="1"/>
  <c r="AE469" i="2"/>
  <c r="AG471" i="2"/>
  <c r="Y474" i="2"/>
  <c r="AF478" i="2"/>
  <c r="AH480" i="2"/>
  <c r="P484" i="2"/>
  <c r="U484" i="2" s="1"/>
  <c r="AE485" i="2"/>
  <c r="AG487" i="2"/>
  <c r="Y490" i="2"/>
  <c r="AF494" i="2"/>
  <c r="AH496" i="2"/>
  <c r="P500" i="2"/>
  <c r="U500" i="2" s="1"/>
  <c r="AE501" i="2"/>
  <c r="AG503" i="2"/>
  <c r="Y506" i="2"/>
  <c r="AF510" i="2"/>
  <c r="P516" i="2"/>
  <c r="U516" i="2" s="1"/>
  <c r="AE517" i="2"/>
  <c r="AG519" i="2"/>
  <c r="Y522" i="2"/>
  <c r="AF526" i="2"/>
  <c r="P532" i="2"/>
  <c r="U532" i="2" s="1"/>
  <c r="AE533" i="2"/>
  <c r="AG535" i="2"/>
  <c r="Y538" i="2"/>
  <c r="AK538" i="2" s="1"/>
  <c r="AL538" i="2" s="1"/>
  <c r="AM538" i="2" s="1"/>
  <c r="AO538" i="2" s="1"/>
  <c r="AF542" i="2"/>
  <c r="P548" i="2"/>
  <c r="U548" i="2" s="1"/>
  <c r="AF550" i="2"/>
  <c r="V552" i="2"/>
  <c r="V554" i="2"/>
  <c r="P554" i="2"/>
  <c r="U554" i="2" s="1"/>
  <c r="W556" i="2"/>
  <c r="X556" i="2" s="1"/>
  <c r="Y556" i="2" s="1"/>
  <c r="V560" i="2"/>
  <c r="W560" i="2" s="1"/>
  <c r="W568" i="2"/>
  <c r="X568" i="2" s="1"/>
  <c r="Y568" i="2" s="1"/>
  <c r="X576" i="2"/>
  <c r="Y576" i="2" s="1"/>
  <c r="AI581" i="2"/>
  <c r="AH581" i="2"/>
  <c r="AG581" i="2"/>
  <c r="AF581" i="2"/>
  <c r="AE581" i="2"/>
  <c r="AF421" i="2"/>
  <c r="AF437" i="2"/>
  <c r="AH439" i="2"/>
  <c r="AE444" i="2"/>
  <c r="AF453" i="2"/>
  <c r="AH455" i="2"/>
  <c r="AE460" i="2"/>
  <c r="AG462" i="2"/>
  <c r="AF469" i="2"/>
  <c r="AH471" i="2"/>
  <c r="AE476" i="2"/>
  <c r="AG478" i="2"/>
  <c r="AF485" i="2"/>
  <c r="AH487" i="2"/>
  <c r="AE492" i="2"/>
  <c r="AG494" i="2"/>
  <c r="AF501" i="2"/>
  <c r="AH503" i="2"/>
  <c r="AE508" i="2"/>
  <c r="AG510" i="2"/>
  <c r="AF517" i="2"/>
  <c r="AH519" i="2"/>
  <c r="AE524" i="2"/>
  <c r="AG526" i="2"/>
  <c r="AF533" i="2"/>
  <c r="AH535" i="2"/>
  <c r="AE540" i="2"/>
  <c r="AG542" i="2"/>
  <c r="AG550" i="2"/>
  <c r="AH566" i="2"/>
  <c r="AE573" i="2"/>
  <c r="AJ573" i="2" s="1"/>
  <c r="V581" i="2"/>
  <c r="W581" i="2" s="1"/>
  <c r="AI582" i="2"/>
  <c r="AG582" i="2"/>
  <c r="AG586" i="2"/>
  <c r="AF588" i="2"/>
  <c r="AE588" i="2"/>
  <c r="V588" i="2"/>
  <c r="W588" i="2" s="1"/>
  <c r="W600" i="2"/>
  <c r="X600" i="2" s="1"/>
  <c r="Y600" i="2" s="1"/>
  <c r="W603" i="2"/>
  <c r="X603" i="2" s="1"/>
  <c r="Y603" i="2" s="1"/>
  <c r="W629" i="2"/>
  <c r="X629" i="2" s="1"/>
  <c r="Y629" i="2" s="1"/>
  <c r="AF444" i="2"/>
  <c r="AF460" i="2"/>
  <c r="AH462" i="2"/>
  <c r="AF476" i="2"/>
  <c r="AH478" i="2"/>
  <c r="AF492" i="2"/>
  <c r="AH494" i="2"/>
  <c r="AF508" i="2"/>
  <c r="AH510" i="2"/>
  <c r="AF524" i="2"/>
  <c r="AH526" i="2"/>
  <c r="AF540" i="2"/>
  <c r="AH542" i="2"/>
  <c r="V553" i="2"/>
  <c r="W555" i="2"/>
  <c r="X555" i="2" s="1"/>
  <c r="Y555" i="2" s="1"/>
  <c r="V558" i="2"/>
  <c r="W558" i="2" s="1"/>
  <c r="W559" i="2"/>
  <c r="X559" i="2" s="1"/>
  <c r="Y559" i="2" s="1"/>
  <c r="AI562" i="2"/>
  <c r="AH562" i="2"/>
  <c r="AG562" i="2"/>
  <c r="AI572" i="2"/>
  <c r="W575" i="2"/>
  <c r="X575" i="2" s="1"/>
  <c r="Y575" i="2" s="1"/>
  <c r="AI586" i="2"/>
  <c r="W591" i="2"/>
  <c r="X591" i="2" s="1"/>
  <c r="Y591" i="2" s="1"/>
  <c r="AH437" i="2"/>
  <c r="AG444" i="2"/>
  <c r="AH453" i="2"/>
  <c r="AG460" i="2"/>
  <c r="AH469" i="2"/>
  <c r="AG476" i="2"/>
  <c r="AH485" i="2"/>
  <c r="AG492" i="2"/>
  <c r="AH501" i="2"/>
  <c r="AG508" i="2"/>
  <c r="AH517" i="2"/>
  <c r="AG524" i="2"/>
  <c r="AH533" i="2"/>
  <c r="AG540" i="2"/>
  <c r="W557" i="2"/>
  <c r="X557" i="2" s="1"/>
  <c r="Y557" i="2" s="1"/>
  <c r="AI565" i="2"/>
  <c r="AH565" i="2"/>
  <c r="AF565" i="2"/>
  <c r="AE565" i="2"/>
  <c r="AJ567" i="2"/>
  <c r="X571" i="2"/>
  <c r="Y571" i="2" s="1"/>
  <c r="AH579" i="2"/>
  <c r="AH589" i="2"/>
  <c r="AF589" i="2"/>
  <c r="AI549" i="2"/>
  <c r="AH549" i="2"/>
  <c r="X565" i="2"/>
  <c r="Y565" i="2" s="1"/>
  <c r="W594" i="2"/>
  <c r="X594" i="2" s="1"/>
  <c r="Y594" i="2" s="1"/>
  <c r="W607" i="2"/>
  <c r="X607" i="2" s="1"/>
  <c r="Y607" i="2" s="1"/>
  <c r="W610" i="2"/>
  <c r="X610" i="2" s="1"/>
  <c r="Y610" i="2" s="1"/>
  <c r="AF433" i="2"/>
  <c r="P471" i="2"/>
  <c r="U471" i="2" s="1"/>
  <c r="P487" i="2"/>
  <c r="U487" i="2" s="1"/>
  <c r="P503" i="2"/>
  <c r="U503" i="2" s="1"/>
  <c r="P519" i="2"/>
  <c r="U519" i="2" s="1"/>
  <c r="P535" i="2"/>
  <c r="U535" i="2" s="1"/>
  <c r="V549" i="2"/>
  <c r="W549" i="2" s="1"/>
  <c r="AE552" i="2"/>
  <c r="AF556" i="2"/>
  <c r="AG557" i="2"/>
  <c r="AG560" i="2"/>
  <c r="AH561" i="2"/>
  <c r="AI574" i="2"/>
  <c r="V637" i="2"/>
  <c r="AG637" i="2"/>
  <c r="P637" i="2"/>
  <c r="U637" i="2" s="1"/>
  <c r="AG554" i="2"/>
  <c r="AE558" i="2"/>
  <c r="AH574" i="2"/>
  <c r="AG574" i="2"/>
  <c r="AE574" i="2"/>
  <c r="P574" i="2"/>
  <c r="U574" i="2" s="1"/>
  <c r="W578" i="2"/>
  <c r="X578" i="2" s="1"/>
  <c r="Y578" i="2" s="1"/>
  <c r="W624" i="2"/>
  <c r="X624" i="2" s="1"/>
  <c r="Y624" i="2" s="1"/>
  <c r="W651" i="2"/>
  <c r="X651" i="2" s="1"/>
  <c r="Y651" i="2" s="1"/>
  <c r="AH433" i="2"/>
  <c r="AE438" i="2"/>
  <c r="AH449" i="2"/>
  <c r="X450" i="2"/>
  <c r="Y450" i="2" s="1"/>
  <c r="AE454" i="2"/>
  <c r="AH465" i="2"/>
  <c r="X466" i="2"/>
  <c r="Y466" i="2" s="1"/>
  <c r="AE470" i="2"/>
  <c r="AH481" i="2"/>
  <c r="X482" i="2"/>
  <c r="Y482" i="2" s="1"/>
  <c r="AE486" i="2"/>
  <c r="AH497" i="2"/>
  <c r="X498" i="2"/>
  <c r="Y498" i="2" s="1"/>
  <c r="AE502" i="2"/>
  <c r="AE518" i="2"/>
  <c r="X530" i="2"/>
  <c r="Y530" i="2" s="1"/>
  <c r="AE534" i="2"/>
  <c r="X546" i="2"/>
  <c r="Y546" i="2" s="1"/>
  <c r="AG552" i="2"/>
  <c r="AH554" i="2"/>
  <c r="AF555" i="2"/>
  <c r="AE557" i="2"/>
  <c r="AG558" i="2"/>
  <c r="AG559" i="2"/>
  <c r="AF570" i="2"/>
  <c r="AE570" i="2"/>
  <c r="AH570" i="2"/>
  <c r="AG575" i="2"/>
  <c r="AG591" i="2"/>
  <c r="AH605" i="2"/>
  <c r="AF605" i="2"/>
  <c r="AE605" i="2"/>
  <c r="AH607" i="2"/>
  <c r="AG607" i="2"/>
  <c r="X612" i="2"/>
  <c r="Y612" i="2" s="1"/>
  <c r="AI617" i="2"/>
  <c r="AH617" i="2"/>
  <c r="AG617" i="2"/>
  <c r="AE617" i="2"/>
  <c r="AE429" i="2"/>
  <c r="AF438" i="2"/>
  <c r="X441" i="2"/>
  <c r="Y441" i="2" s="1"/>
  <c r="AE445" i="2"/>
  <c r="AJ445" i="2" s="1"/>
  <c r="AF454" i="2"/>
  <c r="AE461" i="2"/>
  <c r="AJ461" i="2" s="1"/>
  <c r="AF470" i="2"/>
  <c r="X473" i="2"/>
  <c r="Y473" i="2" s="1"/>
  <c r="AE477" i="2"/>
  <c r="AJ477" i="2" s="1"/>
  <c r="AF486" i="2"/>
  <c r="X489" i="2"/>
  <c r="Y489" i="2" s="1"/>
  <c r="AE493" i="2"/>
  <c r="AJ493" i="2" s="1"/>
  <c r="AF502" i="2"/>
  <c r="AE509" i="2"/>
  <c r="AJ509" i="2" s="1"/>
  <c r="AF518" i="2"/>
  <c r="AE525" i="2"/>
  <c r="AJ525" i="2" s="1"/>
  <c r="AF534" i="2"/>
  <c r="AE541" i="2"/>
  <c r="AJ541" i="2" s="1"/>
  <c r="AH552" i="2"/>
  <c r="AG553" i="2"/>
  <c r="AI554" i="2"/>
  <c r="AF557" i="2"/>
  <c r="AH558" i="2"/>
  <c r="AH559" i="2"/>
  <c r="AI564" i="2"/>
  <c r="V570" i="2"/>
  <c r="W570" i="2" s="1"/>
  <c r="P570" i="2"/>
  <c r="U570" i="2" s="1"/>
  <c r="AF571" i="2"/>
  <c r="AI580" i="2"/>
  <c r="W584" i="2"/>
  <c r="X584" i="2" s="1"/>
  <c r="Y584" i="2" s="1"/>
  <c r="U587" i="2"/>
  <c r="AI590" i="2"/>
  <c r="AH590" i="2"/>
  <c r="AG590" i="2"/>
  <c r="AE590" i="2"/>
  <c r="V590" i="2"/>
  <c r="P590" i="2"/>
  <c r="U590" i="2" s="1"/>
  <c r="AG596" i="2"/>
  <c r="AE596" i="2"/>
  <c r="U598" i="2"/>
  <c r="AF604" i="2"/>
  <c r="V604" i="2"/>
  <c r="W604" i="2" s="1"/>
  <c r="P604" i="2"/>
  <c r="U604" i="2" s="1"/>
  <c r="AF607" i="2"/>
  <c r="AG612" i="2"/>
  <c r="AE612" i="2"/>
  <c r="U614" i="2"/>
  <c r="V632" i="2"/>
  <c r="P632" i="2"/>
  <c r="U632" i="2" s="1"/>
  <c r="AI552" i="2"/>
  <c r="AH553" i="2"/>
  <c r="AH557" i="2"/>
  <c r="Y564" i="2"/>
  <c r="AE566" i="2"/>
  <c r="V574" i="2"/>
  <c r="W590" i="2"/>
  <c r="AH628" i="2"/>
  <c r="AG628" i="2"/>
  <c r="AF628" i="2"/>
  <c r="AF568" i="2"/>
  <c r="AJ568" i="2" s="1"/>
  <c r="AE575" i="2"/>
  <c r="AG577" i="2"/>
  <c r="AF584" i="2"/>
  <c r="AJ584" i="2" s="1"/>
  <c r="V585" i="2"/>
  <c r="AE591" i="2"/>
  <c r="AG593" i="2"/>
  <c r="AF600" i="2"/>
  <c r="AJ600" i="2" s="1"/>
  <c r="V601" i="2"/>
  <c r="AH602" i="2"/>
  <c r="AE607" i="2"/>
  <c r="AG609" i="2"/>
  <c r="AH616" i="2"/>
  <c r="AI627" i="2"/>
  <c r="U630" i="2"/>
  <c r="AF633" i="2"/>
  <c r="AL656" i="2"/>
  <c r="AM656" i="2" s="1"/>
  <c r="V664" i="2"/>
  <c r="AI664" i="2"/>
  <c r="AL664" i="2" s="1"/>
  <c r="AM664" i="2" s="1"/>
  <c r="AH664" i="2"/>
  <c r="AG664" i="2"/>
  <c r="AF664" i="2"/>
  <c r="AI665" i="2"/>
  <c r="AH665" i="2"/>
  <c r="AG665" i="2"/>
  <c r="AE665" i="2"/>
  <c r="AH636" i="2"/>
  <c r="AF636" i="2"/>
  <c r="AE636" i="2"/>
  <c r="AJ650" i="2"/>
  <c r="AI661" i="2"/>
  <c r="AL661" i="2" s="1"/>
  <c r="AM661" i="2" s="1"/>
  <c r="AH661" i="2"/>
  <c r="AG661" i="2"/>
  <c r="AF661" i="2"/>
  <c r="AE661" i="2"/>
  <c r="W625" i="2"/>
  <c r="X625" i="2" s="1"/>
  <c r="Y625" i="2" s="1"/>
  <c r="AJ634" i="2"/>
  <c r="AH635" i="2"/>
  <c r="AF635" i="2"/>
  <c r="V636" i="2"/>
  <c r="P636" i="2"/>
  <c r="U636" i="2" s="1"/>
  <c r="P641" i="2"/>
  <c r="U641" i="2" s="1"/>
  <c r="AG641" i="2"/>
  <c r="V705" i="2"/>
  <c r="AI705" i="2"/>
  <c r="AH705" i="2"/>
  <c r="AE705" i="2"/>
  <c r="P705" i="2"/>
  <c r="U705" i="2" s="1"/>
  <c r="AO705" i="2" s="1"/>
  <c r="P595" i="2"/>
  <c r="U595" i="2" s="1"/>
  <c r="W599" i="2"/>
  <c r="X599" i="2" s="1"/>
  <c r="Y599" i="2" s="1"/>
  <c r="AK599" i="2" s="1"/>
  <c r="AL599" i="2" s="1"/>
  <c r="AM599" i="2" s="1"/>
  <c r="AO599" i="2" s="1"/>
  <c r="P611" i="2"/>
  <c r="U611" i="2" s="1"/>
  <c r="AE629" i="2"/>
  <c r="V635" i="2"/>
  <c r="X642" i="2"/>
  <c r="Y642" i="2" s="1"/>
  <c r="AF564" i="2"/>
  <c r="AE571" i="2"/>
  <c r="AF580" i="2"/>
  <c r="P586" i="2"/>
  <c r="U586" i="2" s="1"/>
  <c r="AE587" i="2"/>
  <c r="AG589" i="2"/>
  <c r="AF596" i="2"/>
  <c r="P602" i="2"/>
  <c r="U602" i="2" s="1"/>
  <c r="AE603" i="2"/>
  <c r="AG605" i="2"/>
  <c r="AF612" i="2"/>
  <c r="P616" i="2"/>
  <c r="U616" i="2" s="1"/>
  <c r="AE618" i="2"/>
  <c r="P621" i="2"/>
  <c r="U621" i="2" s="1"/>
  <c r="AF624" i="2"/>
  <c r="V626" i="2"/>
  <c r="W626" i="2" s="1"/>
  <c r="AG627" i="2"/>
  <c r="AI637" i="2"/>
  <c r="P640" i="2"/>
  <c r="U640" i="2" s="1"/>
  <c r="AH640" i="2"/>
  <c r="V641" i="2"/>
  <c r="W646" i="2"/>
  <c r="X646" i="2" s="1"/>
  <c r="Y646" i="2" s="1"/>
  <c r="W650" i="2"/>
  <c r="X650" i="2" s="1"/>
  <c r="Y650" i="2" s="1"/>
  <c r="AG658" i="2"/>
  <c r="W667" i="2"/>
  <c r="X667" i="2" s="1"/>
  <c r="Y667" i="2" s="1"/>
  <c r="AE578" i="2"/>
  <c r="AE594" i="2"/>
  <c r="AE610" i="2"/>
  <c r="AI645" i="2"/>
  <c r="AG645" i="2"/>
  <c r="AF645" i="2"/>
  <c r="AE645" i="2"/>
  <c r="V653" i="2"/>
  <c r="P653" i="2"/>
  <c r="U653" i="2" s="1"/>
  <c r="AO653" i="2" s="1"/>
  <c r="V661" i="2"/>
  <c r="W666" i="2"/>
  <c r="X666" i="2" s="1"/>
  <c r="Y666" i="2" s="1"/>
  <c r="AJ666" i="2"/>
  <c r="AH564" i="2"/>
  <c r="P568" i="2"/>
  <c r="U568" i="2" s="1"/>
  <c r="AE569" i="2"/>
  <c r="AG571" i="2"/>
  <c r="AF578" i="2"/>
  <c r="AH580" i="2"/>
  <c r="P584" i="2"/>
  <c r="U584" i="2" s="1"/>
  <c r="AE585" i="2"/>
  <c r="AG587" i="2"/>
  <c r="AF594" i="2"/>
  <c r="AH596" i="2"/>
  <c r="P600" i="2"/>
  <c r="U600" i="2" s="1"/>
  <c r="AE601" i="2"/>
  <c r="AG603" i="2"/>
  <c r="AF610" i="2"/>
  <c r="AH612" i="2"/>
  <c r="AH618" i="2"/>
  <c r="AE619" i="2"/>
  <c r="V621" i="2"/>
  <c r="AG622" i="2"/>
  <c r="V622" i="2"/>
  <c r="W622" i="2" s="1"/>
  <c r="AF625" i="2"/>
  <c r="AH630" i="2"/>
  <c r="AE631" i="2"/>
  <c r="W633" i="2"/>
  <c r="X633" i="2" s="1"/>
  <c r="Y633" i="2" s="1"/>
  <c r="W634" i="2"/>
  <c r="X634" i="2" s="1"/>
  <c r="Y634" i="2" s="1"/>
  <c r="AI641" i="2"/>
  <c r="W669" i="2"/>
  <c r="X669" i="2" s="1"/>
  <c r="Y669" i="2" s="1"/>
  <c r="W692" i="2"/>
  <c r="X692" i="2" s="1"/>
  <c r="Y692" i="2" s="1"/>
  <c r="P559" i="2"/>
  <c r="U559" i="2" s="1"/>
  <c r="AF569" i="2"/>
  <c r="AH571" i="2"/>
  <c r="P575" i="2"/>
  <c r="U575" i="2" s="1"/>
  <c r="AE576" i="2"/>
  <c r="AF585" i="2"/>
  <c r="AH587" i="2"/>
  <c r="P591" i="2"/>
  <c r="U591" i="2" s="1"/>
  <c r="AE592" i="2"/>
  <c r="AF601" i="2"/>
  <c r="AH603" i="2"/>
  <c r="P607" i="2"/>
  <c r="U607" i="2" s="1"/>
  <c r="AE608" i="2"/>
  <c r="AE615" i="2"/>
  <c r="AF617" i="2"/>
  <c r="AF619" i="2"/>
  <c r="P622" i="2"/>
  <c r="U622" i="2" s="1"/>
  <c r="AI628" i="2"/>
  <c r="AE628" i="2"/>
  <c r="X639" i="2"/>
  <c r="Y639" i="2" s="1"/>
  <c r="U645" i="2"/>
  <c r="AO645" i="2" s="1"/>
  <c r="W658" i="2"/>
  <c r="X658" i="2" s="1"/>
  <c r="Y658" i="2" s="1"/>
  <c r="AI671" i="2"/>
  <c r="AL671" i="2" s="1"/>
  <c r="AM671" i="2" s="1"/>
  <c r="AG569" i="2"/>
  <c r="AF576" i="2"/>
  <c r="V577" i="2"/>
  <c r="AH578" i="2"/>
  <c r="AG585" i="2"/>
  <c r="AF592" i="2"/>
  <c r="V593" i="2"/>
  <c r="AH594" i="2"/>
  <c r="AG601" i="2"/>
  <c r="AF608" i="2"/>
  <c r="V609" i="2"/>
  <c r="AH610" i="2"/>
  <c r="AF615" i="2"/>
  <c r="AH623" i="2"/>
  <c r="AJ623" i="2" s="1"/>
  <c r="V627" i="2"/>
  <c r="AF632" i="2"/>
  <c r="AF641" i="2"/>
  <c r="V648" i="2"/>
  <c r="AI648" i="2"/>
  <c r="AL648" i="2" s="1"/>
  <c r="AM648" i="2" s="1"/>
  <c r="AH648" i="2"/>
  <c r="AG648" i="2"/>
  <c r="AF648" i="2"/>
  <c r="AI653" i="2"/>
  <c r="AL653" i="2" s="1"/>
  <c r="AM653" i="2" s="1"/>
  <c r="AI763" i="2"/>
  <c r="AH763" i="2"/>
  <c r="AE763" i="2"/>
  <c r="AG763" i="2"/>
  <c r="AF763" i="2"/>
  <c r="AH569" i="2"/>
  <c r="AG576" i="2"/>
  <c r="AH585" i="2"/>
  <c r="AG592" i="2"/>
  <c r="AH601" i="2"/>
  <c r="AG608" i="2"/>
  <c r="AG615" i="2"/>
  <c r="P628" i="2"/>
  <c r="U628" i="2" s="1"/>
  <c r="AE633" i="2"/>
  <c r="AG636" i="2"/>
  <c r="AH641" i="2"/>
  <c r="AI644" i="2"/>
  <c r="AL644" i="2" s="1"/>
  <c r="AM644" i="2" s="1"/>
  <c r="AH644" i="2"/>
  <c r="AG644" i="2"/>
  <c r="AE644" i="2"/>
  <c r="V645" i="2"/>
  <c r="AL672" i="2"/>
  <c r="AM672" i="2" s="1"/>
  <c r="AI704" i="2"/>
  <c r="AL704" i="2" s="1"/>
  <c r="AM704" i="2" s="1"/>
  <c r="AG704" i="2"/>
  <c r="AF704" i="2"/>
  <c r="AE704" i="2"/>
  <c r="AH704" i="2"/>
  <c r="V704" i="2"/>
  <c r="AF558" i="2"/>
  <c r="P564" i="2"/>
  <c r="U564" i="2" s="1"/>
  <c r="AF574" i="2"/>
  <c r="AH576" i="2"/>
  <c r="P580" i="2"/>
  <c r="U580" i="2" s="1"/>
  <c r="AH592" i="2"/>
  <c r="P596" i="2"/>
  <c r="U596" i="2" s="1"/>
  <c r="AH608" i="2"/>
  <c r="P612" i="2"/>
  <c r="U612" i="2" s="1"/>
  <c r="AH615" i="2"/>
  <c r="AF618" i="2"/>
  <c r="W623" i="2"/>
  <c r="X623" i="2" s="1"/>
  <c r="Y623" i="2" s="1"/>
  <c r="AE626" i="2"/>
  <c r="W628" i="2"/>
  <c r="X628" i="2" s="1"/>
  <c r="Y628" i="2" s="1"/>
  <c r="AI629" i="2"/>
  <c r="AF629" i="2"/>
  <c r="AG633" i="2"/>
  <c r="AI636" i="2"/>
  <c r="AI649" i="2"/>
  <c r="AL649" i="2" s="1"/>
  <c r="AM649" i="2" s="1"/>
  <c r="AH649" i="2"/>
  <c r="AE649" i="2"/>
  <c r="W652" i="2"/>
  <c r="X652" i="2" s="1"/>
  <c r="Y652" i="2" s="1"/>
  <c r="AG653" i="2"/>
  <c r="AE657" i="2"/>
  <c r="AI658" i="2"/>
  <c r="AL658" i="2" s="1"/>
  <c r="AM658" i="2" s="1"/>
  <c r="AH658" i="2"/>
  <c r="W660" i="2"/>
  <c r="X660" i="2" s="1"/>
  <c r="Y660" i="2" s="1"/>
  <c r="AE604" i="2"/>
  <c r="AE621" i="2"/>
  <c r="AI624" i="2"/>
  <c r="AE624" i="2"/>
  <c r="AF626" i="2"/>
  <c r="AE635" i="2"/>
  <c r="AL650" i="2"/>
  <c r="AM650" i="2" s="1"/>
  <c r="P657" i="2"/>
  <c r="U657" i="2" s="1"/>
  <c r="AO657" i="2" s="1"/>
  <c r="AH657" i="2"/>
  <c r="AG657" i="2"/>
  <c r="AH685" i="2"/>
  <c r="AG685" i="2"/>
  <c r="AF685" i="2"/>
  <c r="AE685" i="2"/>
  <c r="AH626" i="2"/>
  <c r="U629" i="2"/>
  <c r="V630" i="2"/>
  <c r="W630" i="2" s="1"/>
  <c r="AG630" i="2"/>
  <c r="AF630" i="2"/>
  <c r="AG635" i="2"/>
  <c r="AH638" i="2"/>
  <c r="AG638" i="2"/>
  <c r="AF638" i="2"/>
  <c r="V638" i="2"/>
  <c r="W638" i="2" s="1"/>
  <c r="P638" i="2"/>
  <c r="U638" i="2" s="1"/>
  <c r="AG643" i="2"/>
  <c r="AE643" i="2"/>
  <c r="V643" i="2"/>
  <c r="AI643" i="2"/>
  <c r="V644" i="2"/>
  <c r="AH645" i="2"/>
  <c r="AI647" i="2"/>
  <c r="AL647" i="2" s="1"/>
  <c r="AM647" i="2" s="1"/>
  <c r="AH647" i="2"/>
  <c r="AG647" i="2"/>
  <c r="AF647" i="2"/>
  <c r="V647" i="2"/>
  <c r="AL655" i="2"/>
  <c r="AM655" i="2" s="1"/>
  <c r="X662" i="2"/>
  <c r="Y662" i="2" s="1"/>
  <c r="W668" i="2"/>
  <c r="X668" i="2" s="1"/>
  <c r="Y668" i="2" s="1"/>
  <c r="W687" i="2"/>
  <c r="X687" i="2" s="1"/>
  <c r="Y687" i="2" s="1"/>
  <c r="P695" i="2"/>
  <c r="U695" i="2" s="1"/>
  <c r="AH695" i="2"/>
  <c r="AI695" i="2"/>
  <c r="AG695" i="2"/>
  <c r="V695" i="2"/>
  <c r="AG572" i="2"/>
  <c r="W573" i="2"/>
  <c r="X573" i="2" s="1"/>
  <c r="Y573" i="2" s="1"/>
  <c r="X582" i="2"/>
  <c r="Y582" i="2" s="1"/>
  <c r="AG588" i="2"/>
  <c r="W589" i="2"/>
  <c r="X589" i="2" s="1"/>
  <c r="Y589" i="2" s="1"/>
  <c r="X598" i="2"/>
  <c r="Y598" i="2" s="1"/>
  <c r="AE602" i="2"/>
  <c r="AG604" i="2"/>
  <c r="W605" i="2"/>
  <c r="X605" i="2" s="1"/>
  <c r="Y605" i="2" s="1"/>
  <c r="X614" i="2"/>
  <c r="Y614" i="2" s="1"/>
  <c r="AE616" i="2"/>
  <c r="W617" i="2"/>
  <c r="X617" i="2" s="1"/>
  <c r="Y617" i="2" s="1"/>
  <c r="AH621" i="2"/>
  <c r="AE625" i="2"/>
  <c r="AI626" i="2"/>
  <c r="AI631" i="2"/>
  <c r="AH631" i="2"/>
  <c r="V631" i="2"/>
  <c r="AI635" i="2"/>
  <c r="V657" i="2"/>
  <c r="U665" i="2"/>
  <c r="AO665" i="2" s="1"/>
  <c r="AG675" i="2"/>
  <c r="AI691" i="2"/>
  <c r="AH691" i="2"/>
  <c r="AF691" i="2"/>
  <c r="AG691" i="2"/>
  <c r="AE691" i="2"/>
  <c r="AF616" i="2"/>
  <c r="V619" i="2"/>
  <c r="P619" i="2"/>
  <c r="U619" i="2" s="1"/>
  <c r="AF627" i="2"/>
  <c r="AI632" i="2"/>
  <c r="AH632" i="2"/>
  <c r="AF639" i="2"/>
  <c r="AG642" i="2"/>
  <c r="AI657" i="2"/>
  <c r="U662" i="2"/>
  <c r="AO662" i="2" s="1"/>
  <c r="AL666" i="2"/>
  <c r="AM666" i="2" s="1"/>
  <c r="AO677" i="2"/>
  <c r="AG689" i="2"/>
  <c r="AF689" i="2"/>
  <c r="AI689" i="2"/>
  <c r="AH689" i="2"/>
  <c r="AE689" i="2"/>
  <c r="AE655" i="2"/>
  <c r="AI659" i="2"/>
  <c r="AL659" i="2" s="1"/>
  <c r="AM659" i="2" s="1"/>
  <c r="AE671" i="2"/>
  <c r="AF673" i="2"/>
  <c r="AG674" i="2"/>
  <c r="X676" i="2"/>
  <c r="Y676" i="2" s="1"/>
  <c r="V689" i="2"/>
  <c r="AI690" i="2"/>
  <c r="AH690" i="2"/>
  <c r="AG690" i="2"/>
  <c r="AF690" i="2"/>
  <c r="V691" i="2"/>
  <c r="AE703" i="2"/>
  <c r="AH703" i="2"/>
  <c r="AJ709" i="2"/>
  <c r="AI753" i="2"/>
  <c r="AH753" i="2"/>
  <c r="AG753" i="2"/>
  <c r="AF753" i="2"/>
  <c r="AE753" i="2"/>
  <c r="V656" i="2"/>
  <c r="W656" i="2" s="1"/>
  <c r="AE675" i="2"/>
  <c r="V688" i="2"/>
  <c r="AJ693" i="2"/>
  <c r="AI701" i="2"/>
  <c r="AI702" i="2"/>
  <c r="AG702" i="2"/>
  <c r="AE702" i="2"/>
  <c r="V702" i="2"/>
  <c r="Y729" i="2"/>
  <c r="AJ769" i="2"/>
  <c r="AE637" i="2"/>
  <c r="AG639" i="2"/>
  <c r="AF646" i="2"/>
  <c r="P652" i="2"/>
  <c r="U652" i="2" s="1"/>
  <c r="AE653" i="2"/>
  <c r="AG655" i="2"/>
  <c r="AF662" i="2"/>
  <c r="V663" i="2"/>
  <c r="W663" i="2" s="1"/>
  <c r="X665" i="2"/>
  <c r="Y665" i="2" s="1"/>
  <c r="P668" i="2"/>
  <c r="U668" i="2" s="1"/>
  <c r="AE669" i="2"/>
  <c r="AG671" i="2"/>
  <c r="P673" i="2"/>
  <c r="U673" i="2" s="1"/>
  <c r="AF675" i="2"/>
  <c r="AJ677" i="2"/>
  <c r="P690" i="2"/>
  <c r="U690" i="2" s="1"/>
  <c r="AI700" i="2"/>
  <c r="U703" i="2"/>
  <c r="AO703" i="2" s="1"/>
  <c r="AI717" i="2"/>
  <c r="AH723" i="2"/>
  <c r="AG723" i="2"/>
  <c r="AE723" i="2"/>
  <c r="V723" i="2"/>
  <c r="W723" i="2" s="1"/>
  <c r="AG760" i="2"/>
  <c r="AF760" i="2"/>
  <c r="AF637" i="2"/>
  <c r="AH639" i="2"/>
  <c r="AG646" i="2"/>
  <c r="AF653" i="2"/>
  <c r="AH655" i="2"/>
  <c r="AE660" i="2"/>
  <c r="AG662" i="2"/>
  <c r="AF669" i="2"/>
  <c r="AH671" i="2"/>
  <c r="AF679" i="2"/>
  <c r="AH682" i="2"/>
  <c r="AG682" i="2"/>
  <c r="AE682" i="2"/>
  <c r="AF686" i="2"/>
  <c r="AE700" i="2"/>
  <c r="P723" i="2"/>
  <c r="U723" i="2" s="1"/>
  <c r="AI729" i="2"/>
  <c r="AG729" i="2"/>
  <c r="W731" i="2"/>
  <c r="X731" i="2" s="1"/>
  <c r="Y731" i="2" s="1"/>
  <c r="AI755" i="2"/>
  <c r="AH755" i="2"/>
  <c r="V755" i="2"/>
  <c r="W755" i="2" s="1"/>
  <c r="AH674" i="2"/>
  <c r="AE676" i="2"/>
  <c r="AF680" i="2"/>
  <c r="AE680" i="2"/>
  <c r="AH681" i="2"/>
  <c r="AG681" i="2"/>
  <c r="AE681" i="2"/>
  <c r="AI683" i="2"/>
  <c r="AG686" i="2"/>
  <c r="AI692" i="2"/>
  <c r="AH692" i="2"/>
  <c r="AI699" i="2"/>
  <c r="V703" i="2"/>
  <c r="W708" i="2"/>
  <c r="X708" i="2" s="1"/>
  <c r="Y708" i="2" s="1"/>
  <c r="W712" i="2"/>
  <c r="X712" i="2" s="1"/>
  <c r="Y712" i="2" s="1"/>
  <c r="AH715" i="2"/>
  <c r="AF715" i="2"/>
  <c r="AE715" i="2"/>
  <c r="AE729" i="2"/>
  <c r="AI744" i="2"/>
  <c r="AH744" i="2"/>
  <c r="AG744" i="2"/>
  <c r="AF744" i="2"/>
  <c r="AE744" i="2"/>
  <c r="AE746" i="2"/>
  <c r="AI746" i="2"/>
  <c r="AH746" i="2"/>
  <c r="AG746" i="2"/>
  <c r="AF746" i="2"/>
  <c r="P755" i="2"/>
  <c r="U755" i="2" s="1"/>
  <c r="AH637" i="2"/>
  <c r="AE642" i="2"/>
  <c r="AI646" i="2"/>
  <c r="AL646" i="2" s="1"/>
  <c r="AM646" i="2" s="1"/>
  <c r="AF651" i="2"/>
  <c r="AH653" i="2"/>
  <c r="AE658" i="2"/>
  <c r="AG660" i="2"/>
  <c r="AI662" i="2"/>
  <c r="AF667" i="2"/>
  <c r="AH669" i="2"/>
  <c r="W673" i="2"/>
  <c r="X673" i="2" s="1"/>
  <c r="Y673" i="2" s="1"/>
  <c r="V680" i="2"/>
  <c r="P680" i="2"/>
  <c r="U680" i="2" s="1"/>
  <c r="AO680" i="2" s="1"/>
  <c r="V681" i="2"/>
  <c r="P681" i="2"/>
  <c r="U681" i="2" s="1"/>
  <c r="U682" i="2"/>
  <c r="AI684" i="2"/>
  <c r="U699" i="2"/>
  <c r="AH714" i="2"/>
  <c r="AG714" i="2"/>
  <c r="AF714" i="2"/>
  <c r="AE714" i="2"/>
  <c r="W725" i="2"/>
  <c r="X725" i="2" s="1"/>
  <c r="Y725" i="2" s="1"/>
  <c r="W726" i="2"/>
  <c r="X726" i="2" s="1"/>
  <c r="Y726" i="2" s="1"/>
  <c r="V744" i="2"/>
  <c r="P744" i="2"/>
  <c r="U744" i="2" s="1"/>
  <c r="AF642" i="2"/>
  <c r="AG651" i="2"/>
  <c r="AF658" i="2"/>
  <c r="V659" i="2"/>
  <c r="AH660" i="2"/>
  <c r="AG667" i="2"/>
  <c r="P674" i="2"/>
  <c r="U674" i="2" s="1"/>
  <c r="AO674" i="2" s="1"/>
  <c r="W678" i="2"/>
  <c r="X678" i="2" s="1"/>
  <c r="Y678" i="2" s="1"/>
  <c r="W682" i="2"/>
  <c r="X682" i="2" s="1"/>
  <c r="Y682" i="2" s="1"/>
  <c r="AG684" i="2"/>
  <c r="AE692" i="2"/>
  <c r="AH698" i="2"/>
  <c r="AG698" i="2"/>
  <c r="AE698" i="2"/>
  <c r="V714" i="2"/>
  <c r="AG826" i="2"/>
  <c r="AF826" i="2"/>
  <c r="AI826" i="2"/>
  <c r="AE826" i="2"/>
  <c r="AE640" i="2"/>
  <c r="AE656" i="2"/>
  <c r="AI660" i="2"/>
  <c r="AL660" i="2" s="1"/>
  <c r="AM660" i="2" s="1"/>
  <c r="AI676" i="2"/>
  <c r="AL676" i="2" s="1"/>
  <c r="AM676" i="2" s="1"/>
  <c r="V679" i="2"/>
  <c r="W683" i="2"/>
  <c r="X683" i="2" s="1"/>
  <c r="Y683" i="2" s="1"/>
  <c r="P684" i="2"/>
  <c r="U684" i="2" s="1"/>
  <c r="AI685" i="2"/>
  <c r="AF692" i="2"/>
  <c r="V698" i="2"/>
  <c r="W698" i="2" s="1"/>
  <c r="V699" i="2"/>
  <c r="W699" i="2" s="1"/>
  <c r="V700" i="2"/>
  <c r="W700" i="2" s="1"/>
  <c r="AI708" i="2"/>
  <c r="AH708" i="2"/>
  <c r="AG708" i="2"/>
  <c r="AE708" i="2"/>
  <c r="Y717" i="2"/>
  <c r="W720" i="2"/>
  <c r="X720" i="2" s="1"/>
  <c r="Y720" i="2" s="1"/>
  <c r="W722" i="2"/>
  <c r="X722" i="2" s="1"/>
  <c r="Y722" i="2" s="1"/>
  <c r="AI730" i="2"/>
  <c r="AI675" i="2"/>
  <c r="AH675" i="2"/>
  <c r="AG700" i="2"/>
  <c r="AI707" i="2"/>
  <c r="AH707" i="2"/>
  <c r="AG707" i="2"/>
  <c r="AF707" i="2"/>
  <c r="AE707" i="2"/>
  <c r="AI716" i="2"/>
  <c r="AG656" i="2"/>
  <c r="AF663" i="2"/>
  <c r="P669" i="2"/>
  <c r="U669" i="2" s="1"/>
  <c r="AI686" i="2"/>
  <c r="AE686" i="2"/>
  <c r="V707" i="2"/>
  <c r="W707" i="2" s="1"/>
  <c r="P707" i="2"/>
  <c r="U707" i="2" s="1"/>
  <c r="AH716" i="2"/>
  <c r="AF716" i="2"/>
  <c r="AE716" i="2"/>
  <c r="V716" i="2"/>
  <c r="W716" i="2" s="1"/>
  <c r="AH717" i="2"/>
  <c r="AG717" i="2"/>
  <c r="W759" i="2"/>
  <c r="X759" i="2" s="1"/>
  <c r="Y759" i="2" s="1"/>
  <c r="AH656" i="2"/>
  <c r="AG663" i="2"/>
  <c r="AE673" i="2"/>
  <c r="P675" i="2"/>
  <c r="U675" i="2" s="1"/>
  <c r="AO675" i="2" s="1"/>
  <c r="AG683" i="2"/>
  <c r="AH697" i="2"/>
  <c r="AE701" i="2"/>
  <c r="AF702" i="2"/>
  <c r="AI703" i="2"/>
  <c r="P716" i="2"/>
  <c r="U716" i="2" s="1"/>
  <c r="AE717" i="2"/>
  <c r="W750" i="2"/>
  <c r="X750" i="2" s="1"/>
  <c r="Y750" i="2" s="1"/>
  <c r="P635" i="2"/>
  <c r="U635" i="2" s="1"/>
  <c r="P651" i="2"/>
  <c r="U651" i="2" s="1"/>
  <c r="AO651" i="2" s="1"/>
  <c r="AE652" i="2"/>
  <c r="AH663" i="2"/>
  <c r="P667" i="2"/>
  <c r="U667" i="2" s="1"/>
  <c r="AO667" i="2" s="1"/>
  <c r="AE668" i="2"/>
  <c r="W671" i="2"/>
  <c r="X671" i="2" s="1"/>
  <c r="Y671" i="2" s="1"/>
  <c r="AF672" i="2"/>
  <c r="AJ672" i="2" s="1"/>
  <c r="AG673" i="2"/>
  <c r="AF678" i="2"/>
  <c r="AF682" i="2"/>
  <c r="AE687" i="2"/>
  <c r="AJ687" i="2" s="1"/>
  <c r="V697" i="2"/>
  <c r="P697" i="2"/>
  <c r="U697" i="2" s="1"/>
  <c r="AE699" i="2"/>
  <c r="AH700" i="2"/>
  <c r="AG701" i="2"/>
  <c r="AH702" i="2"/>
  <c r="AI714" i="2"/>
  <c r="AL714" i="2" s="1"/>
  <c r="AM714" i="2" s="1"/>
  <c r="AH727" i="2"/>
  <c r="V727" i="2"/>
  <c r="P727" i="2"/>
  <c r="U727" i="2" s="1"/>
  <c r="U730" i="2"/>
  <c r="AH730" i="2"/>
  <c r="AG730" i="2"/>
  <c r="W756" i="2"/>
  <c r="X756" i="2" s="1"/>
  <c r="Y756" i="2" s="1"/>
  <c r="V782" i="2"/>
  <c r="AE782" i="2"/>
  <c r="P782" i="2"/>
  <c r="U782" i="2" s="1"/>
  <c r="AF652" i="2"/>
  <c r="AE659" i="2"/>
  <c r="AF668" i="2"/>
  <c r="AH673" i="2"/>
  <c r="AG678" i="2"/>
  <c r="AG680" i="2"/>
  <c r="AF681" i="2"/>
  <c r="AE683" i="2"/>
  <c r="Y685" i="2"/>
  <c r="AF699" i="2"/>
  <c r="AH701" i="2"/>
  <c r="AI706" i="2"/>
  <c r="W711" i="2"/>
  <c r="X711" i="2" s="1"/>
  <c r="Y711" i="2" s="1"/>
  <c r="X741" i="2"/>
  <c r="Y741" i="2" s="1"/>
  <c r="AG688" i="2"/>
  <c r="AF688" i="2"/>
  <c r="AF696" i="2"/>
  <c r="AE696" i="2"/>
  <c r="AI696" i="2"/>
  <c r="W706" i="2"/>
  <c r="X706" i="2" s="1"/>
  <c r="Y706" i="2" s="1"/>
  <c r="W710" i="2"/>
  <c r="X710" i="2" s="1"/>
  <c r="Y710" i="2" s="1"/>
  <c r="AJ710" i="2"/>
  <c r="Y713" i="2"/>
  <c r="AI734" i="2"/>
  <c r="AH734" i="2"/>
  <c r="AE734" i="2"/>
  <c r="AG734" i="2"/>
  <c r="AF734" i="2"/>
  <c r="AE674" i="2"/>
  <c r="AI678" i="2"/>
  <c r="AL678" i="2" s="1"/>
  <c r="AM678" i="2" s="1"/>
  <c r="AH679" i="2"/>
  <c r="AI680" i="2"/>
  <c r="AH683" i="2"/>
  <c r="AE684" i="2"/>
  <c r="V686" i="2"/>
  <c r="AF695" i="2"/>
  <c r="V696" i="2"/>
  <c r="P696" i="2"/>
  <c r="U696" i="2" s="1"/>
  <c r="AI698" i="2"/>
  <c r="AG705" i="2"/>
  <c r="V734" i="2"/>
  <c r="W734" i="2" s="1"/>
  <c r="AF738" i="2"/>
  <c r="AE738" i="2"/>
  <c r="W778" i="2"/>
  <c r="X778" i="2" s="1"/>
  <c r="Y778" i="2" s="1"/>
  <c r="AI712" i="2"/>
  <c r="AF717" i="2"/>
  <c r="V718" i="2"/>
  <c r="W718" i="2" s="1"/>
  <c r="AH719" i="2"/>
  <c r="AF730" i="2"/>
  <c r="AJ733" i="2"/>
  <c r="U742" i="2"/>
  <c r="V746" i="2"/>
  <c r="AG748" i="2"/>
  <c r="AF748" i="2"/>
  <c r="AE748" i="2"/>
  <c r="AI750" i="2"/>
  <c r="AH750" i="2"/>
  <c r="AG750" i="2"/>
  <c r="AF750" i="2"/>
  <c r="AE750" i="2"/>
  <c r="AE760" i="2"/>
  <c r="W769" i="2"/>
  <c r="X769" i="2" s="1"/>
  <c r="Y769" i="2" s="1"/>
  <c r="W777" i="2"/>
  <c r="X777" i="2" s="1"/>
  <c r="Y777" i="2" s="1"/>
  <c r="W753" i="2"/>
  <c r="X753" i="2" s="1"/>
  <c r="Y753" i="2" s="1"/>
  <c r="AH782" i="2"/>
  <c r="AH791" i="2"/>
  <c r="AF791" i="2"/>
  <c r="AI791" i="2"/>
  <c r="AG791" i="2"/>
  <c r="AE791" i="2"/>
  <c r="AH797" i="2"/>
  <c r="AG797" i="2"/>
  <c r="AF797" i="2"/>
  <c r="AE797" i="2"/>
  <c r="AI797" i="2"/>
  <c r="AH846" i="2"/>
  <c r="AE846" i="2"/>
  <c r="P721" i="2"/>
  <c r="U721" i="2" s="1"/>
  <c r="AI731" i="2"/>
  <c r="AH731" i="2"/>
  <c r="P748" i="2"/>
  <c r="U748" i="2" s="1"/>
  <c r="AI759" i="2"/>
  <c r="AH759" i="2"/>
  <c r="AG759" i="2"/>
  <c r="AE759" i="2"/>
  <c r="AI766" i="2"/>
  <c r="AH766" i="2"/>
  <c r="AG766" i="2"/>
  <c r="AF766" i="2"/>
  <c r="AE766" i="2"/>
  <c r="W845" i="2"/>
  <c r="X845" i="2" s="1"/>
  <c r="Y845" i="2" s="1"/>
  <c r="AJ694" i="2"/>
  <c r="AE697" i="2"/>
  <c r="AG699" i="2"/>
  <c r="AF706" i="2"/>
  <c r="P712" i="2"/>
  <c r="U712" i="2" s="1"/>
  <c r="AO712" i="2" s="1"/>
  <c r="AE713" i="2"/>
  <c r="AG715" i="2"/>
  <c r="AF722" i="2"/>
  <c r="V724" i="2"/>
  <c r="V728" i="2"/>
  <c r="X733" i="2"/>
  <c r="Y733" i="2" s="1"/>
  <c r="AF740" i="2"/>
  <c r="AE741" i="2"/>
  <c r="V751" i="2"/>
  <c r="P751" i="2"/>
  <c r="U751" i="2" s="1"/>
  <c r="W754" i="2"/>
  <c r="X754" i="2" s="1"/>
  <c r="Y754" i="2" s="1"/>
  <c r="AE758" i="2"/>
  <c r="AH760" i="2"/>
  <c r="V767" i="2"/>
  <c r="AF779" i="2"/>
  <c r="AE779" i="2"/>
  <c r="AI779" i="2"/>
  <c r="AH779" i="2"/>
  <c r="AG779" i="2"/>
  <c r="AF800" i="2"/>
  <c r="W810" i="2"/>
  <c r="X810" i="2" s="1"/>
  <c r="Y810" i="2" s="1"/>
  <c r="AF697" i="2"/>
  <c r="AG706" i="2"/>
  <c r="AF713" i="2"/>
  <c r="AE720" i="2"/>
  <c r="AG722" i="2"/>
  <c r="AE726" i="2"/>
  <c r="AE731" i="2"/>
  <c r="U735" i="2"/>
  <c r="AG736" i="2"/>
  <c r="AG740" i="2"/>
  <c r="AE742" i="2"/>
  <c r="W749" i="2"/>
  <c r="X749" i="2" s="1"/>
  <c r="Y749" i="2" s="1"/>
  <c r="AF758" i="2"/>
  <c r="AI760" i="2"/>
  <c r="AF770" i="2"/>
  <c r="AE770" i="2"/>
  <c r="AF772" i="2"/>
  <c r="AE772" i="2"/>
  <c r="AG772" i="2"/>
  <c r="V779" i="2"/>
  <c r="AH781" i="2"/>
  <c r="AG781" i="2"/>
  <c r="AF781" i="2"/>
  <c r="AI781" i="2"/>
  <c r="AE781" i="2"/>
  <c r="AI790" i="2"/>
  <c r="AH790" i="2"/>
  <c r="AG790" i="2"/>
  <c r="AF790" i="2"/>
  <c r="AE790" i="2"/>
  <c r="AE805" i="2"/>
  <c r="W814" i="2"/>
  <c r="X814" i="2" s="1"/>
  <c r="Y814" i="2" s="1"/>
  <c r="AE679" i="2"/>
  <c r="AE695" i="2"/>
  <c r="AG697" i="2"/>
  <c r="AH706" i="2"/>
  <c r="P710" i="2"/>
  <c r="U710" i="2" s="1"/>
  <c r="AG713" i="2"/>
  <c r="AF720" i="2"/>
  <c r="V721" i="2"/>
  <c r="AH722" i="2"/>
  <c r="AH725" i="2"/>
  <c r="AJ725" i="2" s="1"/>
  <c r="AH729" i="2"/>
  <c r="AF729" i="2"/>
  <c r="AF731" i="2"/>
  <c r="AF742" i="2"/>
  <c r="AI743" i="2"/>
  <c r="AH743" i="2"/>
  <c r="AE743" i="2"/>
  <c r="X745" i="2"/>
  <c r="Y745" i="2" s="1"/>
  <c r="W747" i="2"/>
  <c r="X747" i="2" s="1"/>
  <c r="Y747" i="2" s="1"/>
  <c r="V748" i="2"/>
  <c r="AF756" i="2"/>
  <c r="AJ756" i="2" s="1"/>
  <c r="AG764" i="2"/>
  <c r="AF764" i="2"/>
  <c r="AE764" i="2"/>
  <c r="P779" i="2"/>
  <c r="U779" i="2" s="1"/>
  <c r="V781" i="2"/>
  <c r="V790" i="2"/>
  <c r="X794" i="2"/>
  <c r="Y794" i="2" s="1"/>
  <c r="W832" i="2"/>
  <c r="X832" i="2" s="1"/>
  <c r="Y832" i="2" s="1"/>
  <c r="AF711" i="2"/>
  <c r="AE718" i="2"/>
  <c r="AG720" i="2"/>
  <c r="AG726" i="2"/>
  <c r="AG731" i="2"/>
  <c r="V735" i="2"/>
  <c r="AG742" i="2"/>
  <c r="AI758" i="2"/>
  <c r="AI768" i="2"/>
  <c r="AH768" i="2"/>
  <c r="W804" i="2"/>
  <c r="X804" i="2" s="1"/>
  <c r="Y804" i="2" s="1"/>
  <c r="AF718" i="2"/>
  <c r="V719" i="2"/>
  <c r="AH726" i="2"/>
  <c r="AI727" i="2"/>
  <c r="AE730" i="2"/>
  <c r="AI738" i="2"/>
  <c r="AH738" i="2"/>
  <c r="AG738" i="2"/>
  <c r="AF739" i="2"/>
  <c r="AE739" i="2"/>
  <c r="AH742" i="2"/>
  <c r="AE751" i="2"/>
  <c r="AI752" i="2"/>
  <c r="AH752" i="2"/>
  <c r="V766" i="2"/>
  <c r="W766" i="2" s="1"/>
  <c r="AE767" i="2"/>
  <c r="W793" i="2"/>
  <c r="X793" i="2" s="1"/>
  <c r="Y793" i="2" s="1"/>
  <c r="AH711" i="2"/>
  <c r="AG718" i="2"/>
  <c r="V730" i="2"/>
  <c r="AI747" i="2"/>
  <c r="AH747" i="2"/>
  <c r="AF751" i="2"/>
  <c r="AE762" i="2"/>
  <c r="U763" i="2"/>
  <c r="W765" i="2"/>
  <c r="X765" i="2" s="1"/>
  <c r="Y765" i="2" s="1"/>
  <c r="AF767" i="2"/>
  <c r="AG783" i="2"/>
  <c r="AE783" i="2"/>
  <c r="V783" i="2"/>
  <c r="W783" i="2" s="1"/>
  <c r="P783" i="2"/>
  <c r="U783" i="2" s="1"/>
  <c r="V809" i="2"/>
  <c r="P809" i="2"/>
  <c r="U809" i="2" s="1"/>
  <c r="AH809" i="2"/>
  <c r="AI809" i="2"/>
  <c r="AG809" i="2"/>
  <c r="AF809" i="2"/>
  <c r="AE809" i="2"/>
  <c r="W821" i="2"/>
  <c r="X821" i="2" s="1"/>
  <c r="Y821" i="2" s="1"/>
  <c r="W840" i="2"/>
  <c r="X840" i="2" s="1"/>
  <c r="Y840" i="2" s="1"/>
  <c r="AI711" i="2"/>
  <c r="AH718" i="2"/>
  <c r="AE727" i="2"/>
  <c r="AI740" i="2"/>
  <c r="AH741" i="2"/>
  <c r="AG741" i="2"/>
  <c r="AF741" i="2"/>
  <c r="AE745" i="2"/>
  <c r="AE749" i="2"/>
  <c r="AG751" i="2"/>
  <c r="AH761" i="2"/>
  <c r="V762" i="2"/>
  <c r="P762" i="2"/>
  <c r="U762" i="2" s="1"/>
  <c r="X764" i="2"/>
  <c r="Y764" i="2" s="1"/>
  <c r="AG767" i="2"/>
  <c r="AI778" i="2"/>
  <c r="AF778" i="2"/>
  <c r="AE778" i="2"/>
  <c r="AH778" i="2"/>
  <c r="AG778" i="2"/>
  <c r="W798" i="2"/>
  <c r="X798" i="2" s="1"/>
  <c r="Y798" i="2" s="1"/>
  <c r="P713" i="2"/>
  <c r="U713" i="2" s="1"/>
  <c r="AG716" i="2"/>
  <c r="AG727" i="2"/>
  <c r="AE735" i="2"/>
  <c r="W739" i="2"/>
  <c r="X739" i="2" s="1"/>
  <c r="Y739" i="2" s="1"/>
  <c r="AE747" i="2"/>
  <c r="AI748" i="2"/>
  <c r="AF749" i="2"/>
  <c r="AH751" i="2"/>
  <c r="AF759" i="2"/>
  <c r="AH767" i="2"/>
  <c r="AG771" i="2"/>
  <c r="AE771" i="2"/>
  <c r="V771" i="2"/>
  <c r="AE786" i="2"/>
  <c r="AH786" i="2"/>
  <c r="AG786" i="2"/>
  <c r="AF786" i="2"/>
  <c r="V786" i="2"/>
  <c r="AI860" i="2"/>
  <c r="W760" i="2"/>
  <c r="X760" i="2" s="1"/>
  <c r="Y760" i="2" s="1"/>
  <c r="AI765" i="2"/>
  <c r="AG765" i="2"/>
  <c r="V860" i="2"/>
  <c r="P860" i="2"/>
  <c r="U860" i="2" s="1"/>
  <c r="AF705" i="2"/>
  <c r="AE712" i="2"/>
  <c r="AF721" i="2"/>
  <c r="AE724" i="2"/>
  <c r="AF728" i="2"/>
  <c r="AG732" i="2"/>
  <c r="AF732" i="2"/>
  <c r="AG735" i="2"/>
  <c r="Y736" i="2"/>
  <c r="AE737" i="2"/>
  <c r="AJ737" i="2" s="1"/>
  <c r="W738" i="2"/>
  <c r="X738" i="2" s="1"/>
  <c r="Y738" i="2" s="1"/>
  <c r="W742" i="2"/>
  <c r="X742" i="2" s="1"/>
  <c r="Y742" i="2" s="1"/>
  <c r="AF743" i="2"/>
  <c r="AG747" i="2"/>
  <c r="AH749" i="2"/>
  <c r="AH757" i="2"/>
  <c r="AG757" i="2"/>
  <c r="AF757" i="2"/>
  <c r="AE757" i="2"/>
  <c r="V758" i="2"/>
  <c r="AH758" i="2"/>
  <c r="P760" i="2"/>
  <c r="U760" i="2" s="1"/>
  <c r="X763" i="2"/>
  <c r="Y763" i="2" s="1"/>
  <c r="AI770" i="2"/>
  <c r="AH780" i="2"/>
  <c r="AG780" i="2"/>
  <c r="AI780" i="2"/>
  <c r="AF780" i="2"/>
  <c r="AE780" i="2"/>
  <c r="AH813" i="2"/>
  <c r="AG813" i="2"/>
  <c r="AF813" i="2"/>
  <c r="AE813" i="2"/>
  <c r="AI813" i="2"/>
  <c r="AF723" i="2"/>
  <c r="AF724" i="2"/>
  <c r="AI736" i="2"/>
  <c r="AF755" i="2"/>
  <c r="AE755" i="2"/>
  <c r="AE765" i="2"/>
  <c r="AH771" i="2"/>
  <c r="W780" i="2"/>
  <c r="X780" i="2" s="1"/>
  <c r="Y780" i="2" s="1"/>
  <c r="Y808" i="2"/>
  <c r="W808" i="2"/>
  <c r="AH1142" i="2"/>
  <c r="AG1142" i="2"/>
  <c r="AF1142" i="2"/>
  <c r="AE1142" i="2"/>
  <c r="AI1142" i="2"/>
  <c r="AG814" i="2"/>
  <c r="AF814" i="2"/>
  <c r="AE814" i="2"/>
  <c r="AG820" i="2"/>
  <c r="AF820" i="2"/>
  <c r="AE820" i="2"/>
  <c r="AI828" i="2"/>
  <c r="AH828" i="2"/>
  <c r="AG828" i="2"/>
  <c r="AF828" i="2"/>
  <c r="AE828" i="2"/>
  <c r="X855" i="2"/>
  <c r="Y855" i="2" s="1"/>
  <c r="AG788" i="2"/>
  <c r="AF788" i="2"/>
  <c r="AE788" i="2"/>
  <c r="AG798" i="2"/>
  <c r="AE798" i="2"/>
  <c r="AE802" i="2"/>
  <c r="V802" i="2"/>
  <c r="AI802" i="2"/>
  <c r="AJ808" i="2"/>
  <c r="V816" i="2"/>
  <c r="AI816" i="2"/>
  <c r="AL816" i="2" s="1"/>
  <c r="AM816" i="2" s="1"/>
  <c r="AH816" i="2"/>
  <c r="AG816" i="2"/>
  <c r="X817" i="2"/>
  <c r="Y817" i="2" s="1"/>
  <c r="AJ824" i="2"/>
  <c r="V772" i="2"/>
  <c r="W772" i="2" s="1"/>
  <c r="V788" i="2"/>
  <c r="V789" i="2"/>
  <c r="P789" i="2"/>
  <c r="U789" i="2" s="1"/>
  <c r="AI796" i="2"/>
  <c r="AH796" i="2"/>
  <c r="AG796" i="2"/>
  <c r="AE796" i="2"/>
  <c r="V797" i="2"/>
  <c r="W797" i="2" s="1"/>
  <c r="Y803" i="2"/>
  <c r="V813" i="2"/>
  <c r="W813" i="2" s="1"/>
  <c r="AH814" i="2"/>
  <c r="AI817" i="2"/>
  <c r="AH817" i="2"/>
  <c r="AG817" i="2"/>
  <c r="AF817" i="2"/>
  <c r="AE817" i="2"/>
  <c r="W844" i="2"/>
  <c r="X844" i="2" s="1"/>
  <c r="Y844" i="2" s="1"/>
  <c r="AI845" i="2"/>
  <c r="AH845" i="2"/>
  <c r="AF798" i="2"/>
  <c r="AI806" i="2"/>
  <c r="AH806" i="2"/>
  <c r="AG806" i="2"/>
  <c r="AF806" i="2"/>
  <c r="AE806" i="2"/>
  <c r="AH810" i="2"/>
  <c r="AG810" i="2"/>
  <c r="W820" i="2"/>
  <c r="X820" i="2" s="1"/>
  <c r="Y820" i="2" s="1"/>
  <c r="AG821" i="2"/>
  <c r="V828" i="2"/>
  <c r="AE837" i="2"/>
  <c r="AH837" i="2"/>
  <c r="AG837" i="2"/>
  <c r="AF837" i="2"/>
  <c r="AI773" i="2"/>
  <c r="AH773" i="2"/>
  <c r="AI774" i="2"/>
  <c r="AH774" i="2"/>
  <c r="AG774" i="2"/>
  <c r="AE774" i="2"/>
  <c r="AH798" i="2"/>
  <c r="V806" i="2"/>
  <c r="P839" i="2"/>
  <c r="U839" i="2" s="1"/>
  <c r="V839" i="2"/>
  <c r="W839" i="2" s="1"/>
  <c r="W865" i="2"/>
  <c r="X865" i="2" s="1"/>
  <c r="Y865" i="2" s="1"/>
  <c r="AE736" i="2"/>
  <c r="AF745" i="2"/>
  <c r="AE752" i="2"/>
  <c r="AG754" i="2"/>
  <c r="AF761" i="2"/>
  <c r="P767" i="2"/>
  <c r="U767" i="2" s="1"/>
  <c r="AE768" i="2"/>
  <c r="AG770" i="2"/>
  <c r="V773" i="2"/>
  <c r="P773" i="2"/>
  <c r="U773" i="2" s="1"/>
  <c r="AH777" i="2"/>
  <c r="AJ777" i="2" s="1"/>
  <c r="AF795" i="2"/>
  <c r="AI803" i="2"/>
  <c r="AH803" i="2"/>
  <c r="AG803" i="2"/>
  <c r="P806" i="2"/>
  <c r="U806" i="2" s="1"/>
  <c r="AH807" i="2"/>
  <c r="AF807" i="2"/>
  <c r="AF831" i="2"/>
  <c r="AE831" i="2"/>
  <c r="AI833" i="2"/>
  <c r="AH833" i="2"/>
  <c r="AG833" i="2"/>
  <c r="AE833" i="2"/>
  <c r="V833" i="2"/>
  <c r="W833" i="2" s="1"/>
  <c r="AI837" i="2"/>
  <c r="AI854" i="2"/>
  <c r="AG854" i="2"/>
  <c r="V854" i="2"/>
  <c r="AH854" i="2"/>
  <c r="AF854" i="2"/>
  <c r="AE854" i="2"/>
  <c r="AF736" i="2"/>
  <c r="AG745" i="2"/>
  <c r="AF752" i="2"/>
  <c r="AH754" i="2"/>
  <c r="AG761" i="2"/>
  <c r="AF768" i="2"/>
  <c r="AH770" i="2"/>
  <c r="V795" i="2"/>
  <c r="P795" i="2"/>
  <c r="U795" i="2" s="1"/>
  <c r="W796" i="2"/>
  <c r="X796" i="2" s="1"/>
  <c r="Y796" i="2" s="1"/>
  <c r="W801" i="2"/>
  <c r="X801" i="2" s="1"/>
  <c r="Y801" i="2" s="1"/>
  <c r="AG815" i="2"/>
  <c r="AE815" i="2"/>
  <c r="V815" i="2"/>
  <c r="AI822" i="2"/>
  <c r="AH822" i="2"/>
  <c r="AG822" i="2"/>
  <c r="AF822" i="2"/>
  <c r="AE822" i="2"/>
  <c r="AH823" i="2"/>
  <c r="AG823" i="2"/>
  <c r="AF823" i="2"/>
  <c r="P833" i="2"/>
  <c r="U833" i="2" s="1"/>
  <c r="AE862" i="2"/>
  <c r="AI888" i="2"/>
  <c r="AG888" i="2"/>
  <c r="AF888" i="2"/>
  <c r="U890" i="2"/>
  <c r="AI890" i="2"/>
  <c r="AH890" i="2"/>
  <c r="AE890" i="2"/>
  <c r="P733" i="2"/>
  <c r="U733" i="2" s="1"/>
  <c r="P749" i="2"/>
  <c r="U749" i="2" s="1"/>
  <c r="P765" i="2"/>
  <c r="U765" i="2" s="1"/>
  <c r="U775" i="2"/>
  <c r="X787" i="2"/>
  <c r="Y787" i="2" s="1"/>
  <c r="V800" i="2"/>
  <c r="AI800" i="2"/>
  <c r="AG800" i="2"/>
  <c r="AE803" i="2"/>
  <c r="AE807" i="2"/>
  <c r="AF811" i="2"/>
  <c r="W812" i="2"/>
  <c r="X812" i="2" s="1"/>
  <c r="Y812" i="2" s="1"/>
  <c r="P815" i="2"/>
  <c r="U815" i="2" s="1"/>
  <c r="Y819" i="2"/>
  <c r="AH820" i="2"/>
  <c r="V822" i="2"/>
  <c r="AG831" i="2"/>
  <c r="AI839" i="2"/>
  <c r="AH839" i="2"/>
  <c r="AF839" i="2"/>
  <c r="AE839" i="2"/>
  <c r="AF802" i="2"/>
  <c r="AI805" i="2"/>
  <c r="V811" i="2"/>
  <c r="W811" i="2" s="1"/>
  <c r="P811" i="2"/>
  <c r="U811" i="2" s="1"/>
  <c r="AE816" i="2"/>
  <c r="AI820" i="2"/>
  <c r="V774" i="2"/>
  <c r="AJ775" i="2"/>
  <c r="AF782" i="2"/>
  <c r="AI785" i="2"/>
  <c r="AH785" i="2"/>
  <c r="AE785" i="2"/>
  <c r="AG789" i="2"/>
  <c r="AG802" i="2"/>
  <c r="AI807" i="2"/>
  <c r="AF816" i="2"/>
  <c r="AH826" i="2"/>
  <c r="W827" i="2"/>
  <c r="X827" i="2" s="1"/>
  <c r="Y827" i="2" s="1"/>
  <c r="AG782" i="2"/>
  <c r="AE784" i="2"/>
  <c r="AH788" i="2"/>
  <c r="P793" i="2"/>
  <c r="U793" i="2" s="1"/>
  <c r="AH793" i="2"/>
  <c r="AJ793" i="2" s="1"/>
  <c r="AI801" i="2"/>
  <c r="AH801" i="2"/>
  <c r="AF801" i="2"/>
  <c r="AE801" i="2"/>
  <c r="AH802" i="2"/>
  <c r="AH830" i="2"/>
  <c r="AG830" i="2"/>
  <c r="P835" i="2"/>
  <c r="U835" i="2" s="1"/>
  <c r="V835" i="2"/>
  <c r="AI840" i="2"/>
  <c r="AF840" i="2"/>
  <c r="AE840" i="2"/>
  <c r="AH840" i="2"/>
  <c r="AG840" i="2"/>
  <c r="AJ776" i="2"/>
  <c r="AK776" i="2" s="1"/>
  <c r="AL776" i="2" s="1"/>
  <c r="AM776" i="2" s="1"/>
  <c r="AO776" i="2" s="1"/>
  <c r="AF784" i="2"/>
  <c r="AF785" i="2"/>
  <c r="AE787" i="2"/>
  <c r="AJ787" i="2" s="1"/>
  <c r="AI788" i="2"/>
  <c r="AG795" i="2"/>
  <c r="AF796" i="2"/>
  <c r="W799" i="2"/>
  <c r="X799" i="2" s="1"/>
  <c r="Y799" i="2" s="1"/>
  <c r="AG804" i="2"/>
  <c r="AF804" i="2"/>
  <c r="AE804" i="2"/>
  <c r="X805" i="2"/>
  <c r="Y805" i="2" s="1"/>
  <c r="AI814" i="2"/>
  <c r="U826" i="2"/>
  <c r="AE829" i="2"/>
  <c r="V829" i="2"/>
  <c r="P829" i="2"/>
  <c r="U829" i="2" s="1"/>
  <c r="AE830" i="2"/>
  <c r="W856" i="2"/>
  <c r="X856" i="2" s="1"/>
  <c r="Y856" i="2" s="1"/>
  <c r="AI818" i="2"/>
  <c r="AF841" i="2"/>
  <c r="AI841" i="2"/>
  <c r="AH842" i="2"/>
  <c r="AG842" i="2"/>
  <c r="W867" i="2"/>
  <c r="X867" i="2" s="1"/>
  <c r="Y867" i="2" s="1"/>
  <c r="AG875" i="2"/>
  <c r="V902" i="2"/>
  <c r="W902" i="2" s="1"/>
  <c r="AI902" i="2"/>
  <c r="AG902" i="2"/>
  <c r="AF902" i="2"/>
  <c r="AH902" i="2"/>
  <c r="AE902" i="2"/>
  <c r="AF825" i="2"/>
  <c r="AI825" i="2"/>
  <c r="AH859" i="2"/>
  <c r="AF859" i="2"/>
  <c r="V859" i="2"/>
  <c r="W859" i="2" s="1"/>
  <c r="W870" i="2"/>
  <c r="X870" i="2" s="1"/>
  <c r="Y870" i="2" s="1"/>
  <c r="AF789" i="2"/>
  <c r="AF805" i="2"/>
  <c r="X808" i="2"/>
  <c r="AE812" i="2"/>
  <c r="AF821" i="2"/>
  <c r="AF829" i="2"/>
  <c r="AH835" i="2"/>
  <c r="P841" i="2"/>
  <c r="U841" i="2" s="1"/>
  <c r="AO841" i="2" s="1"/>
  <c r="U853" i="2"/>
  <c r="W885" i="2"/>
  <c r="X885" i="2" s="1"/>
  <c r="Y885" i="2" s="1"/>
  <c r="AI852" i="2"/>
  <c r="AG852" i="2"/>
  <c r="AE852" i="2"/>
  <c r="AH858" i="2"/>
  <c r="AG858" i="2"/>
  <c r="AF858" i="2"/>
  <c r="AE858" i="2"/>
  <c r="AE872" i="2"/>
  <c r="AI872" i="2"/>
  <c r="AH872" i="2"/>
  <c r="AG872" i="2"/>
  <c r="AF872" i="2"/>
  <c r="AH789" i="2"/>
  <c r="AE794" i="2"/>
  <c r="AH805" i="2"/>
  <c r="AE810" i="2"/>
  <c r="AG812" i="2"/>
  <c r="AH821" i="2"/>
  <c r="AE827" i="2"/>
  <c r="AF832" i="2"/>
  <c r="W835" i="2"/>
  <c r="AF838" i="2"/>
  <c r="AF849" i="2"/>
  <c r="AG850" i="2"/>
  <c r="AJ850" i="2" s="1"/>
  <c r="AI851" i="2"/>
  <c r="AH851" i="2"/>
  <c r="AF851" i="2"/>
  <c r="V852" i="2"/>
  <c r="P852" i="2"/>
  <c r="U852" i="2" s="1"/>
  <c r="AF855" i="2"/>
  <c r="V858" i="2"/>
  <c r="AH860" i="2"/>
  <c r="AG860" i="2"/>
  <c r="AF860" i="2"/>
  <c r="AE860" i="2"/>
  <c r="V872" i="2"/>
  <c r="P872" i="2"/>
  <c r="U872" i="2" s="1"/>
  <c r="W877" i="2"/>
  <c r="X877" i="2" s="1"/>
  <c r="Y877" i="2" s="1"/>
  <c r="AF897" i="2"/>
  <c r="AE897" i="2"/>
  <c r="AI897" i="2"/>
  <c r="AH897" i="2"/>
  <c r="AG897" i="2"/>
  <c r="AF794" i="2"/>
  <c r="AF810" i="2"/>
  <c r="AH812" i="2"/>
  <c r="AG819" i="2"/>
  <c r="AF827" i="2"/>
  <c r="V830" i="2"/>
  <c r="W830" i="2" s="1"/>
  <c r="AF830" i="2"/>
  <c r="X834" i="2"/>
  <c r="Y834" i="2" s="1"/>
  <c r="AI836" i="2"/>
  <c r="AE836" i="2"/>
  <c r="AH838" i="2"/>
  <c r="AE848" i="2"/>
  <c r="AI848" i="2"/>
  <c r="AH848" i="2"/>
  <c r="X866" i="2"/>
  <c r="Y866" i="2" s="1"/>
  <c r="V818" i="2"/>
  <c r="AH819" i="2"/>
  <c r="V825" i="2"/>
  <c r="X842" i="2"/>
  <c r="Y842" i="2" s="1"/>
  <c r="V843" i="2"/>
  <c r="W843" i="2" s="1"/>
  <c r="V846" i="2"/>
  <c r="AI846" i="2"/>
  <c r="AG846" i="2"/>
  <c r="AF846" i="2"/>
  <c r="AH847" i="2"/>
  <c r="AE847" i="2"/>
  <c r="W851" i="2"/>
  <c r="X851" i="2" s="1"/>
  <c r="Y851" i="2" s="1"/>
  <c r="AI853" i="2"/>
  <c r="AH853" i="2"/>
  <c r="AF853" i="2"/>
  <c r="AE853" i="2"/>
  <c r="AG879" i="2"/>
  <c r="AI879" i="2"/>
  <c r="AH879" i="2"/>
  <c r="AF879" i="2"/>
  <c r="AE879" i="2"/>
  <c r="V879" i="2"/>
  <c r="P847" i="2"/>
  <c r="U847" i="2" s="1"/>
  <c r="V847" i="2"/>
  <c r="AI868" i="2"/>
  <c r="AH868" i="2"/>
  <c r="AG868" i="2"/>
  <c r="AF868" i="2"/>
  <c r="AE868" i="2"/>
  <c r="AF783" i="2"/>
  <c r="P805" i="2"/>
  <c r="U805" i="2" s="1"/>
  <c r="P821" i="2"/>
  <c r="U821" i="2" s="1"/>
  <c r="AH831" i="2"/>
  <c r="AE841" i="2"/>
  <c r="V849" i="2"/>
  <c r="W849" i="2" s="1"/>
  <c r="AG853" i="2"/>
  <c r="AI856" i="2"/>
  <c r="AF856" i="2"/>
  <c r="AE856" i="2"/>
  <c r="AE859" i="2"/>
  <c r="V868" i="2"/>
  <c r="P868" i="2"/>
  <c r="U868" i="2" s="1"/>
  <c r="AO868" i="2" s="1"/>
  <c r="U876" i="2"/>
  <c r="P831" i="2"/>
  <c r="U831" i="2" s="1"/>
  <c r="V831" i="2"/>
  <c r="AE834" i="2"/>
  <c r="V836" i="2"/>
  <c r="U837" i="2"/>
  <c r="AG841" i="2"/>
  <c r="AE842" i="2"/>
  <c r="AG859" i="2"/>
  <c r="AL863" i="2"/>
  <c r="AM863" i="2" s="1"/>
  <c r="AH783" i="2"/>
  <c r="AH799" i="2"/>
  <c r="AJ799" i="2" s="1"/>
  <c r="AH815" i="2"/>
  <c r="AE832" i="2"/>
  <c r="AH832" i="2"/>
  <c r="AF834" i="2"/>
  <c r="AH841" i="2"/>
  <c r="AF842" i="2"/>
  <c r="AE843" i="2"/>
  <c r="W848" i="2"/>
  <c r="X848" i="2" s="1"/>
  <c r="Y848" i="2" s="1"/>
  <c r="AG849" i="2"/>
  <c r="AF852" i="2"/>
  <c r="W857" i="2"/>
  <c r="X857" i="2" s="1"/>
  <c r="Y857" i="2" s="1"/>
  <c r="AI859" i="2"/>
  <c r="AH884" i="2"/>
  <c r="AG884" i="2"/>
  <c r="AF884" i="2"/>
  <c r="AE884" i="2"/>
  <c r="AG891" i="2"/>
  <c r="AE891" i="2"/>
  <c r="X791" i="2"/>
  <c r="Y791" i="2" s="1"/>
  <c r="AE795" i="2"/>
  <c r="X807" i="2"/>
  <c r="Y807" i="2" s="1"/>
  <c r="AE811" i="2"/>
  <c r="X823" i="2"/>
  <c r="Y823" i="2" s="1"/>
  <c r="AH834" i="2"/>
  <c r="AE835" i="2"/>
  <c r="AI842" i="2"/>
  <c r="AF843" i="2"/>
  <c r="AE844" i="2"/>
  <c r="AJ844" i="2" s="1"/>
  <c r="AH852" i="2"/>
  <c r="AH855" i="2"/>
  <c r="AI861" i="2"/>
  <c r="AH861" i="2"/>
  <c r="V861" i="2"/>
  <c r="W862" i="2"/>
  <c r="X862" i="2" s="1"/>
  <c r="Y862" i="2" s="1"/>
  <c r="AL866" i="2"/>
  <c r="AM866" i="2" s="1"/>
  <c r="AG876" i="2"/>
  <c r="AF876" i="2"/>
  <c r="AE876" i="2"/>
  <c r="W886" i="2"/>
  <c r="X886" i="2" s="1"/>
  <c r="Y886" i="2" s="1"/>
  <c r="AE825" i="2"/>
  <c r="X826" i="2"/>
  <c r="Y826" i="2" s="1"/>
  <c r="AI834" i="2"/>
  <c r="AF835" i="2"/>
  <c r="W837" i="2"/>
  <c r="X837" i="2" s="1"/>
  <c r="Y837" i="2" s="1"/>
  <c r="AG839" i="2"/>
  <c r="AG843" i="2"/>
  <c r="AF845" i="2"/>
  <c r="AE851" i="2"/>
  <c r="AI858" i="2"/>
  <c r="P861" i="2"/>
  <c r="U861" i="2" s="1"/>
  <c r="AO861" i="2" s="1"/>
  <c r="W871" i="2"/>
  <c r="X871" i="2" s="1"/>
  <c r="Y871" i="2" s="1"/>
  <c r="W873" i="2"/>
  <c r="X873" i="2" s="1"/>
  <c r="Y873" i="2" s="1"/>
  <c r="AG855" i="2"/>
  <c r="AI857" i="2"/>
  <c r="AF862" i="2"/>
  <c r="V863" i="2"/>
  <c r="AH864" i="2"/>
  <c r="AJ864" i="2" s="1"/>
  <c r="AK864" i="2" s="1"/>
  <c r="AE875" i="2"/>
  <c r="AJ878" i="2"/>
  <c r="AK878" i="2" s="1"/>
  <c r="AL878" i="2" s="1"/>
  <c r="AM878" i="2" s="1"/>
  <c r="V897" i="2"/>
  <c r="W897" i="2" s="1"/>
  <c r="P897" i="2"/>
  <c r="U897" i="2" s="1"/>
  <c r="AI905" i="2"/>
  <c r="W906" i="2"/>
  <c r="X906" i="2" s="1"/>
  <c r="Y906" i="2" s="1"/>
  <c r="V911" i="2"/>
  <c r="P911" i="2"/>
  <c r="U911" i="2" s="1"/>
  <c r="AI911" i="2"/>
  <c r="AH911" i="2"/>
  <c r="AI917" i="2"/>
  <c r="AH917" i="2"/>
  <c r="AG917" i="2"/>
  <c r="AF917" i="2"/>
  <c r="AE917" i="2"/>
  <c r="V917" i="2"/>
  <c r="W927" i="2"/>
  <c r="X927" i="2" s="1"/>
  <c r="Y927" i="2" s="1"/>
  <c r="AH953" i="2"/>
  <c r="AG862" i="2"/>
  <c r="AI864" i="2"/>
  <c r="AL864" i="2" s="1"/>
  <c r="AM864" i="2" s="1"/>
  <c r="AE870" i="2"/>
  <c r="AF875" i="2"/>
  <c r="AE877" i="2"/>
  <c r="AH896" i="2"/>
  <c r="AI898" i="2"/>
  <c r="AE898" i="2"/>
  <c r="AI901" i="2"/>
  <c r="AG901" i="2"/>
  <c r="AF901" i="2"/>
  <c r="AE901" i="2"/>
  <c r="V953" i="2"/>
  <c r="P953" i="2"/>
  <c r="U953" i="2" s="1"/>
  <c r="AI953" i="2"/>
  <c r="AF953" i="2"/>
  <c r="AE953" i="2"/>
  <c r="AE867" i="2"/>
  <c r="AF870" i="2"/>
  <c r="AG873" i="2"/>
  <c r="AF873" i="2"/>
  <c r="AF880" i="2"/>
  <c r="AE880" i="2"/>
  <c r="P896" i="2"/>
  <c r="U896" i="2" s="1"/>
  <c r="AG896" i="2"/>
  <c r="AH929" i="2"/>
  <c r="AF929" i="2"/>
  <c r="AI929" i="2"/>
  <c r="AG929" i="2"/>
  <c r="AE929" i="2"/>
  <c r="W943" i="2"/>
  <c r="X943" i="2" s="1"/>
  <c r="Y943" i="2" s="1"/>
  <c r="W978" i="2"/>
  <c r="X978" i="2" s="1"/>
  <c r="Y978" i="2" s="1"/>
  <c r="P857" i="2"/>
  <c r="U857" i="2" s="1"/>
  <c r="AI862" i="2"/>
  <c r="AL862" i="2" s="1"/>
  <c r="AM862" i="2" s="1"/>
  <c r="AF867" i="2"/>
  <c r="AG870" i="2"/>
  <c r="AF877" i="2"/>
  <c r="AF881" i="2"/>
  <c r="AE881" i="2"/>
  <c r="AI881" i="2"/>
  <c r="AF885" i="2"/>
  <c r="AE886" i="2"/>
  <c r="AF887" i="2"/>
  <c r="AG895" i="2"/>
  <c r="AI919" i="2"/>
  <c r="V929" i="2"/>
  <c r="P929" i="2"/>
  <c r="U929" i="2" s="1"/>
  <c r="AE865" i="2"/>
  <c r="AG867" i="2"/>
  <c r="AH870" i="2"/>
  <c r="U873" i="2"/>
  <c r="AH882" i="2"/>
  <c r="AG882" i="2"/>
  <c r="AG885" i="2"/>
  <c r="AG886" i="2"/>
  <c r="V895" i="2"/>
  <c r="P895" i="2"/>
  <c r="U895" i="2" s="1"/>
  <c r="W901" i="2"/>
  <c r="X901" i="2" s="1"/>
  <c r="Y901" i="2" s="1"/>
  <c r="AE904" i="2"/>
  <c r="V904" i="2"/>
  <c r="AI904" i="2"/>
  <c r="AH904" i="2"/>
  <c r="AF913" i="2"/>
  <c r="U945" i="2"/>
  <c r="AH959" i="2"/>
  <c r="AG959" i="2"/>
  <c r="AE959" i="2"/>
  <c r="V959" i="2"/>
  <c r="P959" i="2"/>
  <c r="U959" i="2" s="1"/>
  <c r="AH867" i="2"/>
  <c r="AI870" i="2"/>
  <c r="AL870" i="2" s="1"/>
  <c r="AM870" i="2" s="1"/>
  <c r="AF871" i="2"/>
  <c r="AG874" i="2"/>
  <c r="AF874" i="2"/>
  <c r="AH877" i="2"/>
  <c r="P881" i="2"/>
  <c r="U881" i="2" s="1"/>
  <c r="V882" i="2"/>
  <c r="AH883" i="2"/>
  <c r="AG883" i="2"/>
  <c r="AI892" i="2"/>
  <c r="AH892" i="2"/>
  <c r="AF892" i="2"/>
  <c r="AJ894" i="2"/>
  <c r="X894" i="2"/>
  <c r="Y894" i="2" s="1"/>
  <c r="V896" i="2"/>
  <c r="W905" i="2"/>
  <c r="X905" i="2" s="1"/>
  <c r="Y905" i="2" s="1"/>
  <c r="AE911" i="2"/>
  <c r="Y923" i="2"/>
  <c r="W934" i="2"/>
  <c r="X934" i="2" s="1"/>
  <c r="Y934" i="2" s="1"/>
  <c r="AI940" i="2"/>
  <c r="AH940" i="2"/>
  <c r="AG940" i="2"/>
  <c r="AF940" i="2"/>
  <c r="AE940" i="2"/>
  <c r="AE863" i="2"/>
  <c r="AG871" i="2"/>
  <c r="AI877" i="2"/>
  <c r="V880" i="2"/>
  <c r="U882" i="2"/>
  <c r="V892" i="2"/>
  <c r="W892" i="2" s="1"/>
  <c r="P892" i="2"/>
  <c r="U892" i="2" s="1"/>
  <c r="U900" i="2"/>
  <c r="U904" i="2"/>
  <c r="U916" i="2"/>
  <c r="W922" i="2"/>
  <c r="X922" i="2" s="1"/>
  <c r="Y922" i="2" s="1"/>
  <c r="AI932" i="2"/>
  <c r="AH932" i="2"/>
  <c r="AE932" i="2"/>
  <c r="W940" i="2"/>
  <c r="X940" i="2" s="1"/>
  <c r="Y940" i="2" s="1"/>
  <c r="AH865" i="2"/>
  <c r="AI875" i="2"/>
  <c r="AH875" i="2"/>
  <c r="AI884" i="2"/>
  <c r="AH899" i="2"/>
  <c r="AG899" i="2"/>
  <c r="AE899" i="2"/>
  <c r="AI908" i="2"/>
  <c r="AH908" i="2"/>
  <c r="AF908" i="2"/>
  <c r="AE908" i="2"/>
  <c r="AI865" i="2"/>
  <c r="AL865" i="2" s="1"/>
  <c r="AM865" i="2" s="1"/>
  <c r="AL871" i="2"/>
  <c r="AM871" i="2" s="1"/>
  <c r="V875" i="2"/>
  <c r="W875" i="2" s="1"/>
  <c r="W883" i="2"/>
  <c r="X883" i="2" s="1"/>
  <c r="Y883" i="2" s="1"/>
  <c r="AI889" i="2"/>
  <c r="AG889" i="2"/>
  <c r="AF889" i="2"/>
  <c r="AG890" i="2"/>
  <c r="V908" i="2"/>
  <c r="P908" i="2"/>
  <c r="U908" i="2" s="1"/>
  <c r="AH915" i="2"/>
  <c r="AG915" i="2"/>
  <c r="AE915" i="2"/>
  <c r="X916" i="2"/>
  <c r="Y916" i="2" s="1"/>
  <c r="P867" i="2"/>
  <c r="U867" i="2" s="1"/>
  <c r="AO867" i="2" s="1"/>
  <c r="AJ869" i="2"/>
  <c r="P875" i="2"/>
  <c r="U875" i="2" s="1"/>
  <c r="AI876" i="2"/>
  <c r="AH876" i="2"/>
  <c r="AE888" i="2"/>
  <c r="AH888" i="2"/>
  <c r="AI903" i="2"/>
  <c r="AH903" i="2"/>
  <c r="AG903" i="2"/>
  <c r="AF903" i="2"/>
  <c r="AE903" i="2"/>
  <c r="V903" i="2"/>
  <c r="W903" i="2" s="1"/>
  <c r="U909" i="2"/>
  <c r="AH909" i="2"/>
  <c r="AG909" i="2"/>
  <c r="AF909" i="2"/>
  <c r="AE909" i="2"/>
  <c r="AH912" i="2"/>
  <c r="AG913" i="2"/>
  <c r="V991" i="2"/>
  <c r="P991" i="2"/>
  <c r="U991" i="2" s="1"/>
  <c r="AI885" i="2"/>
  <c r="AE885" i="2"/>
  <c r="U889" i="2"/>
  <c r="AH893" i="2"/>
  <c r="AE893" i="2"/>
  <c r="AI896" i="2"/>
  <c r="AI900" i="2"/>
  <c r="AG900" i="2"/>
  <c r="AE900" i="2"/>
  <c r="P912" i="2"/>
  <c r="U912" i="2" s="1"/>
  <c r="AI912" i="2"/>
  <c r="AG912" i="2"/>
  <c r="AI916" i="2"/>
  <c r="AG916" i="2"/>
  <c r="AF916" i="2"/>
  <c r="AE916" i="2"/>
  <c r="V918" i="2"/>
  <c r="W918" i="2" s="1"/>
  <c r="AI918" i="2"/>
  <c r="AH918" i="2"/>
  <c r="AG918" i="2"/>
  <c r="AF918" i="2"/>
  <c r="AH935" i="2"/>
  <c r="AE866" i="2"/>
  <c r="AJ866" i="2" s="1"/>
  <c r="AG880" i="2"/>
  <c r="P885" i="2"/>
  <c r="U885" i="2" s="1"/>
  <c r="AI886" i="2"/>
  <c r="AF886" i="2"/>
  <c r="AI887" i="2"/>
  <c r="AG887" i="2"/>
  <c r="AE887" i="2"/>
  <c r="V887" i="2"/>
  <c r="U888" i="2"/>
  <c r="AF895" i="2"/>
  <c r="V899" i="2"/>
  <c r="W899" i="2" s="1"/>
  <c r="AG904" i="2"/>
  <c r="W915" i="2"/>
  <c r="X915" i="2" s="1"/>
  <c r="Y915" i="2" s="1"/>
  <c r="X921" i="2"/>
  <c r="Y921" i="2" s="1"/>
  <c r="U925" i="2"/>
  <c r="AI925" i="2"/>
  <c r="AH925" i="2"/>
  <c r="AG925" i="2"/>
  <c r="AF925" i="2"/>
  <c r="AE925" i="2"/>
  <c r="P935" i="2"/>
  <c r="U935" i="2" s="1"/>
  <c r="AE935" i="2"/>
  <c r="V935" i="2"/>
  <c r="AH937" i="2"/>
  <c r="AG937" i="2"/>
  <c r="AI937" i="2"/>
  <c r="AF937" i="2"/>
  <c r="AE937" i="2"/>
  <c r="AE873" i="2"/>
  <c r="AH880" i="2"/>
  <c r="X884" i="2"/>
  <c r="Y884" i="2" s="1"/>
  <c r="AI924" i="2"/>
  <c r="AH924" i="2"/>
  <c r="AG924" i="2"/>
  <c r="AF924" i="2"/>
  <c r="AE924" i="2"/>
  <c r="V937" i="2"/>
  <c r="W937" i="2" s="1"/>
  <c r="W986" i="2"/>
  <c r="X986" i="2" s="1"/>
  <c r="Y986" i="2" s="1"/>
  <c r="AH873" i="2"/>
  <c r="V876" i="2"/>
  <c r="AI880" i="2"/>
  <c r="AH881" i="2"/>
  <c r="AF882" i="2"/>
  <c r="V888" i="2"/>
  <c r="W889" i="2"/>
  <c r="X889" i="2" s="1"/>
  <c r="Y889" i="2" s="1"/>
  <c r="X890" i="2"/>
  <c r="Y890" i="2" s="1"/>
  <c r="Y891" i="2"/>
  <c r="AG892" i="2"/>
  <c r="AG893" i="2"/>
  <c r="AI895" i="2"/>
  <c r="Y898" i="2"/>
  <c r="AH900" i="2"/>
  <c r="W907" i="2"/>
  <c r="X907" i="2" s="1"/>
  <c r="Y907" i="2" s="1"/>
  <c r="V912" i="2"/>
  <c r="Y920" i="2"/>
  <c r="X920" i="2"/>
  <c r="W920" i="2"/>
  <c r="V924" i="2"/>
  <c r="P924" i="2"/>
  <c r="U924" i="2" s="1"/>
  <c r="AI933" i="2"/>
  <c r="AH933" i="2"/>
  <c r="AG933" i="2"/>
  <c r="AF933" i="2"/>
  <c r="AE933" i="2"/>
  <c r="AI935" i="2"/>
  <c r="AI913" i="2"/>
  <c r="V919" i="2"/>
  <c r="W919" i="2" s="1"/>
  <c r="AH920" i="2"/>
  <c r="AI931" i="2"/>
  <c r="AJ931" i="2" s="1"/>
  <c r="AF939" i="2"/>
  <c r="AI920" i="2"/>
  <c r="AH927" i="2"/>
  <c r="AI938" i="2"/>
  <c r="AG938" i="2"/>
  <c r="AF938" i="2"/>
  <c r="X941" i="2"/>
  <c r="Y941" i="2" s="1"/>
  <c r="W942" i="2"/>
  <c r="X942" i="2" s="1"/>
  <c r="Y942" i="2" s="1"/>
  <c r="W965" i="2"/>
  <c r="X965" i="2" s="1"/>
  <c r="Y965" i="2" s="1"/>
  <c r="AH975" i="2"/>
  <c r="AE975" i="2"/>
  <c r="V975" i="2"/>
  <c r="W981" i="2"/>
  <c r="X981" i="2" s="1"/>
  <c r="Y981" i="2" s="1"/>
  <c r="AI989" i="2"/>
  <c r="AH989" i="2"/>
  <c r="AG989" i="2"/>
  <c r="AE989" i="2"/>
  <c r="W991" i="2"/>
  <c r="AH1008" i="2"/>
  <c r="AG1008" i="2"/>
  <c r="AF1008" i="2"/>
  <c r="AI1008" i="2"/>
  <c r="AE1008" i="2"/>
  <c r="AI927" i="2"/>
  <c r="AE930" i="2"/>
  <c r="AI930" i="2"/>
  <c r="AI959" i="2"/>
  <c r="AG991" i="2"/>
  <c r="AG1061" i="2"/>
  <c r="AF1061" i="2"/>
  <c r="AE1061" i="2"/>
  <c r="AF891" i="2"/>
  <c r="AF907" i="2"/>
  <c r="P913" i="2"/>
  <c r="U913" i="2" s="1"/>
  <c r="AE914" i="2"/>
  <c r="AF923" i="2"/>
  <c r="V930" i="2"/>
  <c r="W939" i="2"/>
  <c r="X939" i="2" s="1"/>
  <c r="Y939" i="2" s="1"/>
  <c r="W956" i="2"/>
  <c r="X956" i="2" s="1"/>
  <c r="Y956" i="2" s="1"/>
  <c r="AH967" i="2"/>
  <c r="Y970" i="2"/>
  <c r="X970" i="2"/>
  <c r="W970" i="2"/>
  <c r="Y972" i="2"/>
  <c r="AH983" i="2"/>
  <c r="AH986" i="2"/>
  <c r="AF986" i="2"/>
  <c r="W996" i="2"/>
  <c r="X996" i="2" s="1"/>
  <c r="Y996" i="2" s="1"/>
  <c r="AE946" i="2"/>
  <c r="AI946" i="2"/>
  <c r="AH946" i="2"/>
  <c r="W967" i="2"/>
  <c r="X967" i="2" s="1"/>
  <c r="Y967" i="2" s="1"/>
  <c r="W983" i="2"/>
  <c r="X983" i="2" s="1"/>
  <c r="Y983" i="2" s="1"/>
  <c r="AH891" i="2"/>
  <c r="AE896" i="2"/>
  <c r="AG898" i="2"/>
  <c r="AF905" i="2"/>
  <c r="AH907" i="2"/>
  <c r="AE912" i="2"/>
  <c r="AG914" i="2"/>
  <c r="AF921" i="2"/>
  <c r="AH923" i="2"/>
  <c r="P927" i="2"/>
  <c r="U927" i="2" s="1"/>
  <c r="AF928" i="2"/>
  <c r="AF934" i="2"/>
  <c r="AG935" i="2"/>
  <c r="V938" i="2"/>
  <c r="AE939" i="2"/>
  <c r="AI939" i="2"/>
  <c r="AF942" i="2"/>
  <c r="AH943" i="2"/>
  <c r="AJ943" i="2" s="1"/>
  <c r="V946" i="2"/>
  <c r="W947" i="2"/>
  <c r="X947" i="2" s="1"/>
  <c r="Y947" i="2" s="1"/>
  <c r="U951" i="2"/>
  <c r="V955" i="2"/>
  <c r="W955" i="2" s="1"/>
  <c r="P955" i="2"/>
  <c r="U955" i="2" s="1"/>
  <c r="AI1019" i="2"/>
  <c r="AH1019" i="2"/>
  <c r="AG1019" i="2"/>
  <c r="AF1019" i="2"/>
  <c r="AE1019" i="2"/>
  <c r="AI1041" i="2"/>
  <c r="AL1041" i="2" s="1"/>
  <c r="AM1041" i="2" s="1"/>
  <c r="AH1041" i="2"/>
  <c r="AE1041" i="2"/>
  <c r="AF896" i="2"/>
  <c r="AG905" i="2"/>
  <c r="AF912" i="2"/>
  <c r="AE919" i="2"/>
  <c r="AG921" i="2"/>
  <c r="AG932" i="2"/>
  <c r="AF932" i="2"/>
  <c r="AH942" i="2"/>
  <c r="U946" i="2"/>
  <c r="AI947" i="2"/>
  <c r="AG947" i="2"/>
  <c r="AF947" i="2"/>
  <c r="U958" i="2"/>
  <c r="AI967" i="2"/>
  <c r="AG967" i="2"/>
  <c r="W972" i="2"/>
  <c r="AI974" i="2"/>
  <c r="AI983" i="2"/>
  <c r="AG983" i="2"/>
  <c r="X985" i="2"/>
  <c r="Y985" i="2" s="1"/>
  <c r="AH992" i="2"/>
  <c r="AG992" i="2"/>
  <c r="AI992" i="2"/>
  <c r="AF992" i="2"/>
  <c r="AE992" i="2"/>
  <c r="V992" i="2"/>
  <c r="W992" i="2" s="1"/>
  <c r="AI1003" i="2"/>
  <c r="AE1003" i="2"/>
  <c r="AH1003" i="2"/>
  <c r="AG1003" i="2"/>
  <c r="AF1003" i="2"/>
  <c r="AH905" i="2"/>
  <c r="AF919" i="2"/>
  <c r="AH921" i="2"/>
  <c r="AH928" i="2"/>
  <c r="AG939" i="2"/>
  <c r="Y969" i="2"/>
  <c r="X969" i="2"/>
  <c r="AG919" i="2"/>
  <c r="AF936" i="2"/>
  <c r="AH939" i="2"/>
  <c r="AI950" i="2"/>
  <c r="AH950" i="2"/>
  <c r="AF950" i="2"/>
  <c r="AE950" i="2"/>
  <c r="W969" i="2"/>
  <c r="P1014" i="2"/>
  <c r="U1014" i="2" s="1"/>
  <c r="AF1014" i="2"/>
  <c r="V1014" i="2"/>
  <c r="AH919" i="2"/>
  <c r="AE938" i="2"/>
  <c r="AI945" i="2"/>
  <c r="AH945" i="2"/>
  <c r="AG945" i="2"/>
  <c r="AF945" i="2"/>
  <c r="AE945" i="2"/>
  <c r="V945" i="2"/>
  <c r="W945" i="2" s="1"/>
  <c r="V950" i="2"/>
  <c r="P950" i="2"/>
  <c r="U950" i="2" s="1"/>
  <c r="W960" i="2"/>
  <c r="X960" i="2" s="1"/>
  <c r="Y960" i="2" s="1"/>
  <c r="P898" i="2"/>
  <c r="U898" i="2" s="1"/>
  <c r="P914" i="2"/>
  <c r="U914" i="2" s="1"/>
  <c r="X931" i="2"/>
  <c r="Y931" i="2" s="1"/>
  <c r="V933" i="2"/>
  <c r="W933" i="2" s="1"/>
  <c r="P933" i="2"/>
  <c r="U933" i="2" s="1"/>
  <c r="AI934" i="2"/>
  <c r="AH934" i="2"/>
  <c r="AE934" i="2"/>
  <c r="AH938" i="2"/>
  <c r="AF946" i="2"/>
  <c r="AH957" i="2"/>
  <c r="AG957" i="2"/>
  <c r="AF957" i="2"/>
  <c r="AE957" i="2"/>
  <c r="AH958" i="2"/>
  <c r="AF958" i="2"/>
  <c r="W963" i="2"/>
  <c r="X963" i="2" s="1"/>
  <c r="Y963" i="2" s="1"/>
  <c r="AI966" i="2"/>
  <c r="AH966" i="2"/>
  <c r="AG966" i="2"/>
  <c r="AF966" i="2"/>
  <c r="AE966" i="2"/>
  <c r="Y971" i="2"/>
  <c r="X971" i="2"/>
  <c r="AI976" i="2"/>
  <c r="AL976" i="2" s="1"/>
  <c r="AM976" i="2" s="1"/>
  <c r="AI982" i="2"/>
  <c r="AH982" i="2"/>
  <c r="AG982" i="2"/>
  <c r="AF982" i="2"/>
  <c r="AE982" i="2"/>
  <c r="X1002" i="2"/>
  <c r="Y1002" i="2" s="1"/>
  <c r="AI944" i="2"/>
  <c r="AG944" i="2"/>
  <c r="AF944" i="2"/>
  <c r="AG946" i="2"/>
  <c r="V966" i="2"/>
  <c r="P966" i="2"/>
  <c r="U966" i="2" s="1"/>
  <c r="W976" i="2"/>
  <c r="X976" i="2" s="1"/>
  <c r="Y976" i="2" s="1"/>
  <c r="V982" i="2"/>
  <c r="P982" i="2"/>
  <c r="U982" i="2" s="1"/>
  <c r="AO982" i="2" s="1"/>
  <c r="AF890" i="2"/>
  <c r="X893" i="2"/>
  <c r="Y893" i="2" s="1"/>
  <c r="AF906" i="2"/>
  <c r="AJ906" i="2" s="1"/>
  <c r="X909" i="2"/>
  <c r="Y909" i="2" s="1"/>
  <c r="AE913" i="2"/>
  <c r="AF922" i="2"/>
  <c r="AJ922" i="2" s="1"/>
  <c r="X925" i="2"/>
  <c r="Y925" i="2" s="1"/>
  <c r="P928" i="2"/>
  <c r="U928" i="2" s="1"/>
  <c r="AG930" i="2"/>
  <c r="AI942" i="2"/>
  <c r="V944" i="2"/>
  <c r="AI951" i="2"/>
  <c r="W962" i="2"/>
  <c r="X962" i="2" s="1"/>
  <c r="Y962" i="2" s="1"/>
  <c r="AH973" i="2"/>
  <c r="AG973" i="2"/>
  <c r="AF973" i="2"/>
  <c r="AE973" i="2"/>
  <c r="V973" i="2"/>
  <c r="W973" i="2" s="1"/>
  <c r="AH974" i="2"/>
  <c r="AF974" i="2"/>
  <c r="W979" i="2"/>
  <c r="X979" i="2" s="1"/>
  <c r="Y979" i="2" s="1"/>
  <c r="AL980" i="2"/>
  <c r="AM980" i="2" s="1"/>
  <c r="AH930" i="2"/>
  <c r="AF935" i="2"/>
  <c r="AH941" i="2"/>
  <c r="AG941" i="2"/>
  <c r="AJ941" i="2" s="1"/>
  <c r="W954" i="2"/>
  <c r="X954" i="2" s="1"/>
  <c r="Y954" i="2" s="1"/>
  <c r="V957" i="2"/>
  <c r="AL979" i="2"/>
  <c r="AM979" i="2" s="1"/>
  <c r="U989" i="2"/>
  <c r="W1024" i="2"/>
  <c r="X1024" i="2" s="1"/>
  <c r="Y1024" i="2" s="1"/>
  <c r="AE951" i="2"/>
  <c r="AG953" i="2"/>
  <c r="AI955" i="2"/>
  <c r="AF960" i="2"/>
  <c r="V961" i="2"/>
  <c r="AH962" i="2"/>
  <c r="AE967" i="2"/>
  <c r="AG969" i="2"/>
  <c r="AI971" i="2"/>
  <c r="AJ971" i="2" s="1"/>
  <c r="AF976" i="2"/>
  <c r="V977" i="2"/>
  <c r="W977" i="2" s="1"/>
  <c r="AH978" i="2"/>
  <c r="AE983" i="2"/>
  <c r="AI988" i="2"/>
  <c r="X990" i="2"/>
  <c r="Y990" i="2" s="1"/>
  <c r="AG994" i="2"/>
  <c r="AE995" i="2"/>
  <c r="X997" i="2"/>
  <c r="Y997" i="2" s="1"/>
  <c r="V998" i="2"/>
  <c r="V1008" i="2"/>
  <c r="X1009" i="2"/>
  <c r="Y1009" i="2" s="1"/>
  <c r="AI1017" i="2"/>
  <c r="AH1017" i="2"/>
  <c r="AG1017" i="2"/>
  <c r="AE1017" i="2"/>
  <c r="V1018" i="2"/>
  <c r="W1018" i="2" s="1"/>
  <c r="W1030" i="2"/>
  <c r="X1030" i="2" s="1"/>
  <c r="Y1030" i="2" s="1"/>
  <c r="W1040" i="2"/>
  <c r="X1040" i="2" s="1"/>
  <c r="Y1040" i="2" s="1"/>
  <c r="V936" i="2"/>
  <c r="AE942" i="2"/>
  <c r="V952" i="2"/>
  <c r="AE958" i="2"/>
  <c r="AG960" i="2"/>
  <c r="AI962" i="2"/>
  <c r="AF967" i="2"/>
  <c r="V968" i="2"/>
  <c r="AE974" i="2"/>
  <c r="AG976" i="2"/>
  <c r="AI978" i="2"/>
  <c r="AF983" i="2"/>
  <c r="V984" i="2"/>
  <c r="AE986" i="2"/>
  <c r="AH994" i="2"/>
  <c r="AF995" i="2"/>
  <c r="AG1000" i="2"/>
  <c r="AE1001" i="2"/>
  <c r="AI1007" i="2"/>
  <c r="AE1013" i="2"/>
  <c r="W1032" i="2"/>
  <c r="X1032" i="2" s="1"/>
  <c r="Y1032" i="2" s="1"/>
  <c r="AI1042" i="2"/>
  <c r="V1070" i="2"/>
  <c r="W1070" i="2" s="1"/>
  <c r="AI1070" i="2"/>
  <c r="AG1070" i="2"/>
  <c r="AF1070" i="2"/>
  <c r="AH1070" i="2"/>
  <c r="AE1070" i="2"/>
  <c r="AH960" i="2"/>
  <c r="AI969" i="2"/>
  <c r="AH976" i="2"/>
  <c r="AH1009" i="2"/>
  <c r="AF1009" i="2"/>
  <c r="AE1009" i="2"/>
  <c r="V1013" i="2"/>
  <c r="P1013" i="2"/>
  <c r="U1013" i="2" s="1"/>
  <c r="AG1013" i="2"/>
  <c r="AF949" i="2"/>
  <c r="AE956" i="2"/>
  <c r="AG958" i="2"/>
  <c r="AF965" i="2"/>
  <c r="P971" i="2"/>
  <c r="U971" i="2" s="1"/>
  <c r="AE972" i="2"/>
  <c r="AG974" i="2"/>
  <c r="AI985" i="2"/>
  <c r="AH985" i="2"/>
  <c r="AG986" i="2"/>
  <c r="P988" i="2"/>
  <c r="U988" i="2" s="1"/>
  <c r="AI995" i="2"/>
  <c r="AG996" i="2"/>
  <c r="AE999" i="2"/>
  <c r="P1007" i="2"/>
  <c r="U1007" i="2" s="1"/>
  <c r="V1017" i="2"/>
  <c r="V1020" i="2"/>
  <c r="AI1020" i="2"/>
  <c r="AH1020" i="2"/>
  <c r="AG1020" i="2"/>
  <c r="AF1020" i="2"/>
  <c r="U1042" i="2"/>
  <c r="AE979" i="2"/>
  <c r="AH996" i="2"/>
  <c r="AF997" i="2"/>
  <c r="AH999" i="2"/>
  <c r="AG1009" i="2"/>
  <c r="AG1027" i="2"/>
  <c r="AE1027" i="2"/>
  <c r="AG1037" i="2"/>
  <c r="AF1037" i="2"/>
  <c r="AE1037" i="2"/>
  <c r="W1050" i="2"/>
  <c r="X1050" i="2" s="1"/>
  <c r="Y1050" i="2" s="1"/>
  <c r="AH949" i="2"/>
  <c r="AE954" i="2"/>
  <c r="AG956" i="2"/>
  <c r="AF963" i="2"/>
  <c r="AH965" i="2"/>
  <c r="P969" i="2"/>
  <c r="U969" i="2" s="1"/>
  <c r="AE970" i="2"/>
  <c r="AG972" i="2"/>
  <c r="AF979" i="2"/>
  <c r="AH981" i="2"/>
  <c r="P985" i="2"/>
  <c r="U985" i="2" s="1"/>
  <c r="AI986" i="2"/>
  <c r="AH990" i="2"/>
  <c r="AG997" i="2"/>
  <c r="W1007" i="2"/>
  <c r="X1007" i="2" s="1"/>
  <c r="Y1007" i="2" s="1"/>
  <c r="AI1009" i="2"/>
  <c r="U1034" i="2"/>
  <c r="AI1034" i="2"/>
  <c r="AH1034" i="2"/>
  <c r="AG1034" i="2"/>
  <c r="AF1034" i="2"/>
  <c r="AE1034" i="2"/>
  <c r="AI949" i="2"/>
  <c r="AF954" i="2"/>
  <c r="AH956" i="2"/>
  <c r="AE961" i="2"/>
  <c r="AG963" i="2"/>
  <c r="AI965" i="2"/>
  <c r="AF970" i="2"/>
  <c r="AH972" i="2"/>
  <c r="AE977" i="2"/>
  <c r="AG979" i="2"/>
  <c r="AI981" i="2"/>
  <c r="V988" i="2"/>
  <c r="AE991" i="2"/>
  <c r="AH997" i="2"/>
  <c r="AH1013" i="2"/>
  <c r="W1023" i="2"/>
  <c r="X1023" i="2" s="1"/>
  <c r="Y1023" i="2" s="1"/>
  <c r="AH1026" i="2"/>
  <c r="AG1026" i="2"/>
  <c r="AF1026" i="2"/>
  <c r="AE1026" i="2"/>
  <c r="V1026" i="2"/>
  <c r="P1026" i="2"/>
  <c r="U1026" i="2" s="1"/>
  <c r="W1029" i="2"/>
  <c r="X1029" i="2" s="1"/>
  <c r="Y1029" i="2" s="1"/>
  <c r="AE936" i="2"/>
  <c r="AE952" i="2"/>
  <c r="AG954" i="2"/>
  <c r="AF961" i="2"/>
  <c r="P967" i="2"/>
  <c r="U967" i="2" s="1"/>
  <c r="AE968" i="2"/>
  <c r="AG970" i="2"/>
  <c r="AF977" i="2"/>
  <c r="P983" i="2"/>
  <c r="U983" i="2" s="1"/>
  <c r="AO983" i="2" s="1"/>
  <c r="AE984" i="2"/>
  <c r="AE987" i="2"/>
  <c r="AF989" i="2"/>
  <c r="AF991" i="2"/>
  <c r="X993" i="2"/>
  <c r="Y993" i="2" s="1"/>
  <c r="AH995" i="2"/>
  <c r="AI1004" i="2"/>
  <c r="AH1004" i="2"/>
  <c r="AG1004" i="2"/>
  <c r="AH1005" i="2"/>
  <c r="AG1005" i="2"/>
  <c r="AF1005" i="2"/>
  <c r="W1006" i="2"/>
  <c r="X1006" i="2" s="1"/>
  <c r="Y1006" i="2" s="1"/>
  <c r="AH1011" i="2"/>
  <c r="W1016" i="2"/>
  <c r="X1016" i="2" s="1"/>
  <c r="Y1016" i="2" s="1"/>
  <c r="AF1017" i="2"/>
  <c r="X1031" i="2"/>
  <c r="Y1031" i="2" s="1"/>
  <c r="AL1038" i="2"/>
  <c r="AM1038" i="2" s="1"/>
  <c r="AH954" i="2"/>
  <c r="AG961" i="2"/>
  <c r="AH970" i="2"/>
  <c r="AG977" i="2"/>
  <c r="P1011" i="2"/>
  <c r="U1011" i="2" s="1"/>
  <c r="AG1011" i="2"/>
  <c r="AF1013" i="2"/>
  <c r="W1022" i="2"/>
  <c r="X1022" i="2" s="1"/>
  <c r="Y1022" i="2" s="1"/>
  <c r="AI1033" i="2"/>
  <c r="AH1033" i="2"/>
  <c r="AG1033" i="2"/>
  <c r="AF1033" i="2"/>
  <c r="AE1033" i="2"/>
  <c r="V1033" i="2"/>
  <c r="AI1047" i="2"/>
  <c r="AH1047" i="2"/>
  <c r="AF1047" i="2"/>
  <c r="P949" i="2"/>
  <c r="U949" i="2" s="1"/>
  <c r="AF959" i="2"/>
  <c r="AH961" i="2"/>
  <c r="P965" i="2"/>
  <c r="U965" i="2" s="1"/>
  <c r="AF975" i="2"/>
  <c r="AH977" i="2"/>
  <c r="P981" i="2"/>
  <c r="U981" i="2" s="1"/>
  <c r="AG987" i="2"/>
  <c r="AF993" i="2"/>
  <c r="W994" i="2"/>
  <c r="X994" i="2" s="1"/>
  <c r="Y994" i="2" s="1"/>
  <c r="AF996" i="2"/>
  <c r="AE996" i="2"/>
  <c r="AI1002" i="2"/>
  <c r="AG1002" i="2"/>
  <c r="AF1002" i="2"/>
  <c r="AE1002" i="2"/>
  <c r="AE1007" i="2"/>
  <c r="AI1010" i="2"/>
  <c r="AG1015" i="2"/>
  <c r="AE1020" i="2"/>
  <c r="AG975" i="2"/>
  <c r="AF990" i="2"/>
  <c r="AE990" i="2"/>
  <c r="AI1001" i="2"/>
  <c r="AH1001" i="2"/>
  <c r="U1003" i="2"/>
  <c r="AG1007" i="2"/>
  <c r="AH1010" i="2"/>
  <c r="AE1010" i="2"/>
  <c r="V1010" i="2"/>
  <c r="V1011" i="2"/>
  <c r="U1019" i="2"/>
  <c r="AE997" i="2"/>
  <c r="W1005" i="2"/>
  <c r="X1005" i="2" s="1"/>
  <c r="Y1005" i="2" s="1"/>
  <c r="P1010" i="2"/>
  <c r="U1010" i="2" s="1"/>
  <c r="W1015" i="2"/>
  <c r="X1015" i="2" s="1"/>
  <c r="Y1015" i="2" s="1"/>
  <c r="W1038" i="2"/>
  <c r="X1038" i="2" s="1"/>
  <c r="Y1038" i="2" s="1"/>
  <c r="AL1039" i="2"/>
  <c r="AM1039" i="2" s="1"/>
  <c r="AF948" i="2"/>
  <c r="AJ948" i="2" s="1"/>
  <c r="W958" i="2"/>
  <c r="X958" i="2" s="1"/>
  <c r="Y958" i="2" s="1"/>
  <c r="AF964" i="2"/>
  <c r="AJ964" i="2" s="1"/>
  <c r="W974" i="2"/>
  <c r="AF980" i="2"/>
  <c r="AJ980" i="2" s="1"/>
  <c r="W989" i="2"/>
  <c r="X989" i="2" s="1"/>
  <c r="Y989" i="2" s="1"/>
  <c r="P990" i="2"/>
  <c r="U990" i="2" s="1"/>
  <c r="W995" i="2"/>
  <c r="X995" i="2" s="1"/>
  <c r="Y995" i="2" s="1"/>
  <c r="AH998" i="2"/>
  <c r="AG998" i="2"/>
  <c r="AE998" i="2"/>
  <c r="AG999" i="2"/>
  <c r="AG1006" i="2"/>
  <c r="AI1018" i="2"/>
  <c r="AG1018" i="2"/>
  <c r="AF1018" i="2"/>
  <c r="AE1018" i="2"/>
  <c r="AI991" i="2"/>
  <c r="AH991" i="2"/>
  <c r="AH993" i="2"/>
  <c r="P997" i="2"/>
  <c r="U997" i="2" s="1"/>
  <c r="U999" i="2"/>
  <c r="W1000" i="2"/>
  <c r="X1000" i="2" s="1"/>
  <c r="Y1000" i="2" s="1"/>
  <c r="V1001" i="2"/>
  <c r="AI1014" i="2"/>
  <c r="AH1014" i="2"/>
  <c r="AG1014" i="2"/>
  <c r="AE1014" i="2"/>
  <c r="AE1015" i="2"/>
  <c r="AI1015" i="2"/>
  <c r="V1021" i="2"/>
  <c r="AG1029" i="2"/>
  <c r="AI1031" i="2"/>
  <c r="AH1046" i="2"/>
  <c r="AE1047" i="2"/>
  <c r="W1053" i="2"/>
  <c r="X1053" i="2" s="1"/>
  <c r="Y1053" i="2" s="1"/>
  <c r="W1054" i="2"/>
  <c r="X1054" i="2" s="1"/>
  <c r="Y1054" i="2" s="1"/>
  <c r="U1058" i="2"/>
  <c r="AG1065" i="2"/>
  <c r="AI1069" i="2"/>
  <c r="U1083" i="2"/>
  <c r="Y1089" i="2"/>
  <c r="X1089" i="2"/>
  <c r="W1092" i="2"/>
  <c r="X1092" i="2" s="1"/>
  <c r="Y1092" i="2" s="1"/>
  <c r="AI1006" i="2"/>
  <c r="AF1011" i="2"/>
  <c r="V1012" i="2"/>
  <c r="W1012" i="2" s="1"/>
  <c r="AI1022" i="2"/>
  <c r="AF1027" i="2"/>
  <c r="V1028" i="2"/>
  <c r="AH1029" i="2"/>
  <c r="V1035" i="2"/>
  <c r="AH1065" i="2"/>
  <c r="AI1071" i="2"/>
  <c r="AH1071" i="2"/>
  <c r="AF1071" i="2"/>
  <c r="AE1071" i="2"/>
  <c r="W1080" i="2"/>
  <c r="X1080" i="2" s="1"/>
  <c r="Y1080" i="2" s="1"/>
  <c r="AG1097" i="2"/>
  <c r="AF1097" i="2"/>
  <c r="AI1103" i="2"/>
  <c r="AG1103" i="2"/>
  <c r="AF1103" i="2"/>
  <c r="AH1103" i="2"/>
  <c r="AE1103" i="2"/>
  <c r="U1127" i="2"/>
  <c r="AI1127" i="2"/>
  <c r="P1008" i="2"/>
  <c r="U1008" i="2" s="1"/>
  <c r="AI1013" i="2"/>
  <c r="AE1025" i="2"/>
  <c r="AI1036" i="2"/>
  <c r="AJ1039" i="2"/>
  <c r="AH1042" i="2"/>
  <c r="W1045" i="2"/>
  <c r="X1045" i="2" s="1"/>
  <c r="Y1045" i="2" s="1"/>
  <c r="AI1046" i="2"/>
  <c r="AG1047" i="2"/>
  <c r="Y1055" i="2"/>
  <c r="P1069" i="2"/>
  <c r="U1069" i="2" s="1"/>
  <c r="AE1097" i="2"/>
  <c r="U1105" i="2"/>
  <c r="AE1000" i="2"/>
  <c r="AE1016" i="2"/>
  <c r="AJ1016" i="2" s="1"/>
  <c r="AF1025" i="2"/>
  <c r="P1031" i="2"/>
  <c r="U1031" i="2" s="1"/>
  <c r="AE1032" i="2"/>
  <c r="V1036" i="2"/>
  <c r="W1036" i="2" s="1"/>
  <c r="AE1038" i="2"/>
  <c r="P1040" i="2"/>
  <c r="U1040" i="2" s="1"/>
  <c r="AE1043" i="2"/>
  <c r="AF1049" i="2"/>
  <c r="AG1052" i="2"/>
  <c r="AG1071" i="2"/>
  <c r="W1074" i="2"/>
  <c r="X1074" i="2" s="1"/>
  <c r="Y1074" i="2" s="1"/>
  <c r="W1079" i="2"/>
  <c r="X1079" i="2" s="1"/>
  <c r="Y1079" i="2" s="1"/>
  <c r="AF1085" i="2"/>
  <c r="V1085" i="2"/>
  <c r="W1085" i="2" s="1"/>
  <c r="AJ1045" i="2"/>
  <c r="AI1082" i="2"/>
  <c r="AH1082" i="2"/>
  <c r="AG1082" i="2"/>
  <c r="AF1082" i="2"/>
  <c r="AE1082" i="2"/>
  <c r="AL1092" i="2"/>
  <c r="AM1092" i="2" s="1"/>
  <c r="AN1092" i="2" s="1"/>
  <c r="W1139" i="2"/>
  <c r="X1139" i="2" s="1"/>
  <c r="Y1139" i="2" s="1"/>
  <c r="Y1003" i="2"/>
  <c r="AF1007" i="2"/>
  <c r="Y1019" i="2"/>
  <c r="AF1023" i="2"/>
  <c r="AH1025" i="2"/>
  <c r="P1029" i="2"/>
  <c r="U1029" i="2" s="1"/>
  <c r="AE1030" i="2"/>
  <c r="AG1032" i="2"/>
  <c r="AG1038" i="2"/>
  <c r="Y1039" i="2"/>
  <c r="AE1044" i="2"/>
  <c r="AH1048" i="2"/>
  <c r="AH1049" i="2"/>
  <c r="AF1050" i="2"/>
  <c r="AE1052" i="2"/>
  <c r="AE1054" i="2"/>
  <c r="AI1055" i="2"/>
  <c r="AF1055" i="2"/>
  <c r="AH1067" i="2"/>
  <c r="AG1067" i="2"/>
  <c r="AF1067" i="2"/>
  <c r="AE1067" i="2"/>
  <c r="V1069" i="2"/>
  <c r="U1073" i="2"/>
  <c r="V1082" i="2"/>
  <c r="W1116" i="2"/>
  <c r="X1116" i="2" s="1"/>
  <c r="Y1116" i="2" s="1"/>
  <c r="AF1030" i="2"/>
  <c r="AH1032" i="2"/>
  <c r="AI1037" i="2"/>
  <c r="AL1037" i="2" s="1"/>
  <c r="AM1037" i="2" s="1"/>
  <c r="AH1037" i="2"/>
  <c r="AH1038" i="2"/>
  <c r="AG1041" i="2"/>
  <c r="AF1041" i="2"/>
  <c r="AF1044" i="2"/>
  <c r="AI1049" i="2"/>
  <c r="AF1052" i="2"/>
  <c r="AE1053" i="2"/>
  <c r="AF1054" i="2"/>
  <c r="AE1057" i="2"/>
  <c r="W1068" i="2"/>
  <c r="X1068" i="2" s="1"/>
  <c r="Y1068" i="2" s="1"/>
  <c r="AI1093" i="2"/>
  <c r="AL1093" i="2" s="1"/>
  <c r="AM1093" i="2" s="1"/>
  <c r="AN1093" i="2" s="1"/>
  <c r="AF1093" i="2"/>
  <c r="AH1093" i="2"/>
  <c r="AG1093" i="2"/>
  <c r="AE1093" i="2"/>
  <c r="V1126" i="2"/>
  <c r="P1126" i="2"/>
  <c r="U1126" i="2" s="1"/>
  <c r="AI1126" i="2"/>
  <c r="AH1007" i="2"/>
  <c r="AE1012" i="2"/>
  <c r="AF1021" i="2"/>
  <c r="AH1023" i="2"/>
  <c r="AE1028" i="2"/>
  <c r="AG1030" i="2"/>
  <c r="AE1035" i="2"/>
  <c r="V1046" i="2"/>
  <c r="AH1052" i="2"/>
  <c r="AG1055" i="2"/>
  <c r="U1067" i="2"/>
  <c r="AE1072" i="2"/>
  <c r="V1072" i="2"/>
  <c r="AI1072" i="2"/>
  <c r="AH1072" i="2"/>
  <c r="X1073" i="2"/>
  <c r="Y1073" i="2" s="1"/>
  <c r="U1091" i="2"/>
  <c r="AO1091" i="2" s="1"/>
  <c r="AI1091" i="2"/>
  <c r="AH1091" i="2"/>
  <c r="AG1091" i="2"/>
  <c r="AF1091" i="2"/>
  <c r="AE1091" i="2"/>
  <c r="AG1112" i="2"/>
  <c r="AF1112" i="2"/>
  <c r="AE1112" i="2"/>
  <c r="AI1112" i="2"/>
  <c r="AG1021" i="2"/>
  <c r="AH1030" i="2"/>
  <c r="AG1035" i="2"/>
  <c r="AF1042" i="2"/>
  <c r="AE1042" i="2"/>
  <c r="AI1066" i="2"/>
  <c r="AH1066" i="2"/>
  <c r="AG1066" i="2"/>
  <c r="AE1066" i="2"/>
  <c r="W1067" i="2"/>
  <c r="X1067" i="2" s="1"/>
  <c r="Y1067" i="2" s="1"/>
  <c r="AI1068" i="2"/>
  <c r="AG1068" i="2"/>
  <c r="AE1085" i="2"/>
  <c r="AI1104" i="2"/>
  <c r="AH1104" i="2"/>
  <c r="AG1104" i="2"/>
  <c r="AF1104" i="2"/>
  <c r="AE1104" i="2"/>
  <c r="AH1021" i="2"/>
  <c r="AI1060" i="2"/>
  <c r="AH1060" i="2"/>
  <c r="AG1060" i="2"/>
  <c r="AF1060" i="2"/>
  <c r="AF1065" i="2"/>
  <c r="AE1065" i="2"/>
  <c r="V1066" i="2"/>
  <c r="P1066" i="2"/>
  <c r="U1066" i="2" s="1"/>
  <c r="AI1076" i="2"/>
  <c r="AH1076" i="2"/>
  <c r="AG1076" i="2"/>
  <c r="AF1076" i="2"/>
  <c r="AE1076" i="2"/>
  <c r="U1077" i="2"/>
  <c r="AH1077" i="2"/>
  <c r="AF1077" i="2"/>
  <c r="AE1077" i="2"/>
  <c r="V1104" i="2"/>
  <c r="W1104" i="2" s="1"/>
  <c r="P1104" i="2"/>
  <c r="U1104" i="2" s="1"/>
  <c r="AI1043" i="2"/>
  <c r="AH1043" i="2"/>
  <c r="V1060" i="2"/>
  <c r="V1065" i="2"/>
  <c r="P1065" i="2"/>
  <c r="U1065" i="2" s="1"/>
  <c r="V1076" i="2"/>
  <c r="P1076" i="2"/>
  <c r="U1076" i="2" s="1"/>
  <c r="W1041" i="2"/>
  <c r="X1041" i="2" s="1"/>
  <c r="Y1041" i="2" s="1"/>
  <c r="V1043" i="2"/>
  <c r="AI1059" i="2"/>
  <c r="P1060" i="2"/>
  <c r="U1060" i="2" s="1"/>
  <c r="AE1073" i="2"/>
  <c r="AG1077" i="2"/>
  <c r="W1084" i="2"/>
  <c r="X1084" i="2" s="1"/>
  <c r="Y1084" i="2" s="1"/>
  <c r="AI1134" i="2"/>
  <c r="AG1134" i="2"/>
  <c r="AF1134" i="2"/>
  <c r="AE1134" i="2"/>
  <c r="AH1134" i="2"/>
  <c r="W1154" i="2"/>
  <c r="X1154" i="2" s="1"/>
  <c r="Y1154" i="2" s="1"/>
  <c r="AF1024" i="2"/>
  <c r="X1027" i="2"/>
  <c r="Y1027" i="2" s="1"/>
  <c r="W1034" i="2"/>
  <c r="X1034" i="2" s="1"/>
  <c r="Y1034" i="2" s="1"/>
  <c r="AF1040" i="2"/>
  <c r="P1043" i="2"/>
  <c r="U1043" i="2" s="1"/>
  <c r="AH1044" i="2"/>
  <c r="AG1044" i="2"/>
  <c r="W1047" i="2"/>
  <c r="X1047" i="2" s="1"/>
  <c r="Y1047" i="2" s="1"/>
  <c r="V1049" i="2"/>
  <c r="P1049" i="2"/>
  <c r="U1049" i="2" s="1"/>
  <c r="AH1050" i="2"/>
  <c r="AG1050" i="2"/>
  <c r="AE1050" i="2"/>
  <c r="AG1051" i="2"/>
  <c r="AF1051" i="2"/>
  <c r="AE1051" i="2"/>
  <c r="AG1058" i="2"/>
  <c r="AF1058" i="2"/>
  <c r="AE1058" i="2"/>
  <c r="W1059" i="2"/>
  <c r="X1059" i="2" s="1"/>
  <c r="Y1059" i="2" s="1"/>
  <c r="AJ1062" i="2"/>
  <c r="V1063" i="2"/>
  <c r="AI1067" i="2"/>
  <c r="AH1068" i="2"/>
  <c r="AI1077" i="2"/>
  <c r="W1081" i="2"/>
  <c r="X1081" i="2" s="1"/>
  <c r="Y1081" i="2" s="1"/>
  <c r="W1090" i="2"/>
  <c r="X1090" i="2" s="1"/>
  <c r="Y1090" i="2" s="1"/>
  <c r="AF999" i="2"/>
  <c r="AE1006" i="2"/>
  <c r="AF1015" i="2"/>
  <c r="AE1022" i="2"/>
  <c r="AG1024" i="2"/>
  <c r="AF1031" i="2"/>
  <c r="AF1036" i="2"/>
  <c r="X1037" i="2"/>
  <c r="Y1037" i="2" s="1"/>
  <c r="AG1040" i="2"/>
  <c r="X1042" i="2"/>
  <c r="Y1042" i="2" s="1"/>
  <c r="AE1046" i="2"/>
  <c r="U1050" i="2"/>
  <c r="AI1052" i="2"/>
  <c r="AI1053" i="2"/>
  <c r="AE1055" i="2"/>
  <c r="AE1056" i="2"/>
  <c r="V1056" i="2"/>
  <c r="AH1057" i="2"/>
  <c r="AG1057" i="2"/>
  <c r="AF1057" i="2"/>
  <c r="V1058" i="2"/>
  <c r="W1058" i="2" s="1"/>
  <c r="P1059" i="2"/>
  <c r="U1059" i="2" s="1"/>
  <c r="X1061" i="2"/>
  <c r="Y1061" i="2" s="1"/>
  <c r="AI1075" i="2"/>
  <c r="AI1084" i="2"/>
  <c r="AH1084" i="2"/>
  <c r="AG1084" i="2"/>
  <c r="AF1084" i="2"/>
  <c r="AE1084" i="2"/>
  <c r="X1086" i="2"/>
  <c r="Y1086" i="2" s="1"/>
  <c r="AH1111" i="2"/>
  <c r="AG1111" i="2"/>
  <c r="AF1111" i="2"/>
  <c r="AE1111" i="2"/>
  <c r="AI1111" i="2"/>
  <c r="AG1036" i="2"/>
  <c r="U1051" i="2"/>
  <c r="AI1054" i="2"/>
  <c r="U1057" i="2"/>
  <c r="AH1061" i="2"/>
  <c r="U1071" i="2"/>
  <c r="V1075" i="2"/>
  <c r="P1075" i="2"/>
  <c r="U1075" i="2" s="1"/>
  <c r="AH1083" i="2"/>
  <c r="AG1083" i="2"/>
  <c r="AF1083" i="2"/>
  <c r="AE1083" i="2"/>
  <c r="V1083" i="2"/>
  <c r="W1083" i="2" s="1"/>
  <c r="W1111" i="2"/>
  <c r="X1111" i="2" s="1"/>
  <c r="Y1111" i="2" s="1"/>
  <c r="W1133" i="2"/>
  <c r="X1133" i="2" s="1"/>
  <c r="Y1133" i="2" s="1"/>
  <c r="V1142" i="2"/>
  <c r="P1142" i="2"/>
  <c r="U1142" i="2" s="1"/>
  <c r="W1168" i="2"/>
  <c r="X1168" i="2" s="1"/>
  <c r="Y1168" i="2" s="1"/>
  <c r="W1306" i="2"/>
  <c r="X1306" i="2" s="1"/>
  <c r="Y1306" i="2" s="1"/>
  <c r="AJ1306" i="2"/>
  <c r="AG1079" i="2"/>
  <c r="AI1081" i="2"/>
  <c r="AF1086" i="2"/>
  <c r="AH1088" i="2"/>
  <c r="V1093" i="2"/>
  <c r="V1103" i="2"/>
  <c r="W1103" i="2" s="1"/>
  <c r="U1111" i="2"/>
  <c r="X1115" i="2"/>
  <c r="Y1115" i="2" s="1"/>
  <c r="AE1145" i="2"/>
  <c r="P1168" i="2"/>
  <c r="U1168" i="2" s="1"/>
  <c r="AH1244" i="2"/>
  <c r="AF1244" i="2"/>
  <c r="V1244" i="2"/>
  <c r="W1244" i="2" s="1"/>
  <c r="P1244" i="2"/>
  <c r="U1244" i="2" s="1"/>
  <c r="AG1304" i="2"/>
  <c r="AE1304" i="2"/>
  <c r="AH1079" i="2"/>
  <c r="AG1086" i="2"/>
  <c r="AI1088" i="2"/>
  <c r="AH1094" i="2"/>
  <c r="AF1094" i="2"/>
  <c r="P1103" i="2"/>
  <c r="U1103" i="2" s="1"/>
  <c r="AO1103" i="2" s="1"/>
  <c r="AH1110" i="2"/>
  <c r="AF1110" i="2"/>
  <c r="AE1110" i="2"/>
  <c r="AI1120" i="2"/>
  <c r="AH1120" i="2"/>
  <c r="AG1120" i="2"/>
  <c r="AF1120" i="2"/>
  <c r="V1129" i="2"/>
  <c r="P1129" i="2"/>
  <c r="U1129" i="2" s="1"/>
  <c r="AI1129" i="2"/>
  <c r="AH1129" i="2"/>
  <c r="AG1129" i="2"/>
  <c r="W1138" i="2"/>
  <c r="X1138" i="2" s="1"/>
  <c r="Y1138" i="2" s="1"/>
  <c r="AH1086" i="2"/>
  <c r="AH1095" i="2"/>
  <c r="AF1095" i="2"/>
  <c r="AG1101" i="2"/>
  <c r="AE1101" i="2"/>
  <c r="V1110" i="2"/>
  <c r="P1110" i="2"/>
  <c r="U1110" i="2" s="1"/>
  <c r="AO1110" i="2" s="1"/>
  <c r="AF1114" i="2"/>
  <c r="V1120" i="2"/>
  <c r="W1120" i="2" s="1"/>
  <c r="P1120" i="2"/>
  <c r="U1120" i="2" s="1"/>
  <c r="AI1135" i="2"/>
  <c r="AH1135" i="2"/>
  <c r="AG1135" i="2"/>
  <c r="AF1135" i="2"/>
  <c r="AE1135" i="2"/>
  <c r="AI1144" i="2"/>
  <c r="V1144" i="2"/>
  <c r="W1144" i="2" s="1"/>
  <c r="V1175" i="2"/>
  <c r="W1175" i="2" s="1"/>
  <c r="AF1059" i="2"/>
  <c r="AF1075" i="2"/>
  <c r="X1078" i="2"/>
  <c r="Y1078" i="2" s="1"/>
  <c r="P1081" i="2"/>
  <c r="U1081" i="2" s="1"/>
  <c r="AI1086" i="2"/>
  <c r="P1094" i="2"/>
  <c r="U1094" i="2" s="1"/>
  <c r="AO1094" i="2" s="1"/>
  <c r="V1095" i="2"/>
  <c r="AH1096" i="2"/>
  <c r="AI1100" i="2"/>
  <c r="AL1100" i="2" s="1"/>
  <c r="AM1100" i="2" s="1"/>
  <c r="AN1100" i="2" s="1"/>
  <c r="AH1100" i="2"/>
  <c r="AE1100" i="2"/>
  <c r="U1101" i="2"/>
  <c r="AO1101" i="2" s="1"/>
  <c r="U1102" i="2"/>
  <c r="P1114" i="2"/>
  <c r="U1114" i="2" s="1"/>
  <c r="AI1114" i="2"/>
  <c r="AH1114" i="2"/>
  <c r="AG1114" i="2"/>
  <c r="AI1119" i="2"/>
  <c r="AG1119" i="2"/>
  <c r="AF1119" i="2"/>
  <c r="AE1119" i="2"/>
  <c r="W1132" i="2"/>
  <c r="X1132" i="2" s="1"/>
  <c r="Y1132" i="2" s="1"/>
  <c r="V1135" i="2"/>
  <c r="W1135" i="2" s="1"/>
  <c r="P1144" i="2"/>
  <c r="U1144" i="2" s="1"/>
  <c r="AH1152" i="2"/>
  <c r="Y1158" i="2"/>
  <c r="W1125" i="2"/>
  <c r="X1125" i="2" s="1"/>
  <c r="Y1125" i="2" s="1"/>
  <c r="W1156" i="2"/>
  <c r="X1156" i="2" s="1"/>
  <c r="Y1156" i="2" s="1"/>
  <c r="AF1213" i="2"/>
  <c r="AE1213" i="2"/>
  <c r="AE1048" i="2"/>
  <c r="AH1059" i="2"/>
  <c r="AE1064" i="2"/>
  <c r="AJ1064" i="2" s="1"/>
  <c r="AK1064" i="2" s="1"/>
  <c r="AL1064" i="2" s="1"/>
  <c r="AM1064" i="2" s="1"/>
  <c r="AO1064" i="2" s="1"/>
  <c r="AF1073" i="2"/>
  <c r="AH1075" i="2"/>
  <c r="AE1080" i="2"/>
  <c r="AJ1080" i="2" s="1"/>
  <c r="AF1089" i="2"/>
  <c r="AE1092" i="2"/>
  <c r="P1096" i="2"/>
  <c r="U1096" i="2" s="1"/>
  <c r="AO1096" i="2" s="1"/>
  <c r="V1101" i="2"/>
  <c r="AF1115" i="2"/>
  <c r="P1119" i="2"/>
  <c r="U1119" i="2" s="1"/>
  <c r="AH1144" i="2"/>
  <c r="AG1073" i="2"/>
  <c r="AG1089" i="2"/>
  <c r="AG1092" i="2"/>
  <c r="W1094" i="2"/>
  <c r="X1094" i="2" s="1"/>
  <c r="Y1094" i="2" s="1"/>
  <c r="AI1097" i="2"/>
  <c r="AL1097" i="2" s="1"/>
  <c r="AM1097" i="2" s="1"/>
  <c r="AN1097" i="2" s="1"/>
  <c r="AH1097" i="2"/>
  <c r="AF1098" i="2"/>
  <c r="AJ1099" i="2"/>
  <c r="V1100" i="2"/>
  <c r="X1102" i="2"/>
  <c r="Y1102" i="2" s="1"/>
  <c r="V1113" i="2"/>
  <c r="AI1113" i="2"/>
  <c r="AH1113" i="2"/>
  <c r="AG1113" i="2"/>
  <c r="V1114" i="2"/>
  <c r="AG1115" i="2"/>
  <c r="W1119" i="2"/>
  <c r="X1119" i="2" s="1"/>
  <c r="Y1119" i="2" s="1"/>
  <c r="X1122" i="2"/>
  <c r="Y1122" i="2" s="1"/>
  <c r="P1128" i="2"/>
  <c r="U1128" i="2" s="1"/>
  <c r="AE1129" i="2"/>
  <c r="X1131" i="2"/>
  <c r="Y1131" i="2" s="1"/>
  <c r="AJ1131" i="2"/>
  <c r="W1141" i="2"/>
  <c r="X1141" i="2" s="1"/>
  <c r="Y1141" i="2" s="1"/>
  <c r="W1146" i="2"/>
  <c r="X1146" i="2" s="1"/>
  <c r="Y1146" i="2" s="1"/>
  <c r="AF1087" i="2"/>
  <c r="V1088" i="2"/>
  <c r="P1098" i="2"/>
  <c r="U1098" i="2" s="1"/>
  <c r="AO1098" i="2" s="1"/>
  <c r="AI1098" i="2"/>
  <c r="AG1098" i="2"/>
  <c r="AH1115" i="2"/>
  <c r="AE1120" i="2"/>
  <c r="AF1129" i="2"/>
  <c r="AG1102" i="2"/>
  <c r="AF1102" i="2"/>
  <c r="AE1102" i="2"/>
  <c r="W1143" i="2"/>
  <c r="X1143" i="2" s="1"/>
  <c r="Y1143" i="2" s="1"/>
  <c r="AH1087" i="2"/>
  <c r="AF1101" i="2"/>
  <c r="AI1110" i="2"/>
  <c r="AH1112" i="2"/>
  <c r="AG1117" i="2"/>
  <c r="AE1117" i="2"/>
  <c r="U1134" i="2"/>
  <c r="AG1053" i="2"/>
  <c r="AG1069" i="2"/>
  <c r="P1082" i="2"/>
  <c r="U1082" i="2" s="1"/>
  <c r="AG1085" i="2"/>
  <c r="AE1090" i="2"/>
  <c r="AE1094" i="2"/>
  <c r="V1098" i="2"/>
  <c r="W1098" i="2" s="1"/>
  <c r="AH1101" i="2"/>
  <c r="AH1102" i="2"/>
  <c r="AI1105" i="2"/>
  <c r="AH1105" i="2"/>
  <c r="AF1105" i="2"/>
  <c r="AE1105" i="2"/>
  <c r="V1105" i="2"/>
  <c r="W1105" i="2" s="1"/>
  <c r="W1108" i="2"/>
  <c r="X1108" i="2" s="1"/>
  <c r="Y1108" i="2" s="1"/>
  <c r="AJ1108" i="2"/>
  <c r="AI1121" i="2"/>
  <c r="AH1121" i="2"/>
  <c r="AG1121" i="2"/>
  <c r="AF1121" i="2"/>
  <c r="AE1121" i="2"/>
  <c r="V1121" i="2"/>
  <c r="W1121" i="2" s="1"/>
  <c r="AF1130" i="2"/>
  <c r="AH1149" i="2"/>
  <c r="AG1149" i="2"/>
  <c r="W1190" i="2"/>
  <c r="X1190" i="2" s="1"/>
  <c r="Y1190" i="2" s="1"/>
  <c r="AH1053" i="2"/>
  <c r="AH1069" i="2"/>
  <c r="AE1074" i="2"/>
  <c r="AH1085" i="2"/>
  <c r="AF1090" i="2"/>
  <c r="W1091" i="2"/>
  <c r="X1091" i="2" s="1"/>
  <c r="Y1091" i="2" s="1"/>
  <c r="AG1094" i="2"/>
  <c r="AE1095" i="2"/>
  <c r="W1097" i="2"/>
  <c r="X1097" i="2" s="1"/>
  <c r="Y1097" i="2" s="1"/>
  <c r="AI1101" i="2"/>
  <c r="AI1102" i="2"/>
  <c r="W1107" i="2"/>
  <c r="X1107" i="2" s="1"/>
  <c r="Y1107" i="2" s="1"/>
  <c r="P1112" i="2"/>
  <c r="U1112" i="2" s="1"/>
  <c r="X1118" i="2"/>
  <c r="Y1118" i="2" s="1"/>
  <c r="AH1119" i="2"/>
  <c r="P1130" i="2"/>
  <c r="U1130" i="2" s="1"/>
  <c r="AI1130" i="2"/>
  <c r="AH1130" i="2"/>
  <c r="AG1130" i="2"/>
  <c r="AE1130" i="2"/>
  <c r="AI1169" i="2"/>
  <c r="AL1169" i="2" s="1"/>
  <c r="AM1169" i="2" s="1"/>
  <c r="AG1169" i="2"/>
  <c r="AE1169" i="2"/>
  <c r="AF1074" i="2"/>
  <c r="AE1081" i="2"/>
  <c r="AG1090" i="2"/>
  <c r="AI1094" i="2"/>
  <c r="AG1095" i="2"/>
  <c r="AF1100" i="2"/>
  <c r="W1112" i="2"/>
  <c r="X1112" i="2" s="1"/>
  <c r="Y1112" i="2" s="1"/>
  <c r="V1117" i="2"/>
  <c r="AE1122" i="2"/>
  <c r="W1130" i="2"/>
  <c r="X1130" i="2" s="1"/>
  <c r="Y1130" i="2" s="1"/>
  <c r="AG1133" i="2"/>
  <c r="AF1133" i="2"/>
  <c r="AE1133" i="2"/>
  <c r="AI1136" i="2"/>
  <c r="W1145" i="2"/>
  <c r="X1145" i="2" s="1"/>
  <c r="Y1145" i="2" s="1"/>
  <c r="AE1149" i="2"/>
  <c r="W1203" i="2"/>
  <c r="X1203" i="2" s="1"/>
  <c r="Y1203" i="2" s="1"/>
  <c r="AI1095" i="2"/>
  <c r="AL1095" i="2" s="1"/>
  <c r="AM1095" i="2" s="1"/>
  <c r="AN1095" i="2" s="1"/>
  <c r="AF1096" i="2"/>
  <c r="AG1118" i="2"/>
  <c r="AF1118" i="2"/>
  <c r="AE1118" i="2"/>
  <c r="AH1126" i="2"/>
  <c r="AF1126" i="2"/>
  <c r="AE1126" i="2"/>
  <c r="W1127" i="2"/>
  <c r="X1127" i="2" s="1"/>
  <c r="Y1127" i="2" s="1"/>
  <c r="X1136" i="2"/>
  <c r="Y1136" i="2" s="1"/>
  <c r="U1143" i="2"/>
  <c r="AI1143" i="2"/>
  <c r="Y1159" i="2"/>
  <c r="X1159" i="2"/>
  <c r="AJ1124" i="2"/>
  <c r="AE1127" i="2"/>
  <c r="AF1136" i="2"/>
  <c r="V1137" i="2"/>
  <c r="W1137" i="2" s="1"/>
  <c r="AJ1140" i="2"/>
  <c r="AE1143" i="2"/>
  <c r="AG1145" i="2"/>
  <c r="V1162" i="2"/>
  <c r="W1162" i="2" s="1"/>
  <c r="AI1162" i="2"/>
  <c r="AE1178" i="2"/>
  <c r="W1183" i="2"/>
  <c r="X1183" i="2" s="1"/>
  <c r="Y1183" i="2" s="1"/>
  <c r="AI1106" i="2"/>
  <c r="AL1106" i="2" s="1"/>
  <c r="AM1106" i="2" s="1"/>
  <c r="AI1122" i="2"/>
  <c r="AF1127" i="2"/>
  <c r="AG1136" i="2"/>
  <c r="AI1138" i="2"/>
  <c r="AJ1138" i="2" s="1"/>
  <c r="AF1143" i="2"/>
  <c r="AH1145" i="2"/>
  <c r="AJ1148" i="2"/>
  <c r="AF1150" i="2"/>
  <c r="AE1152" i="2"/>
  <c r="AE1157" i="2"/>
  <c r="AI1158" i="2"/>
  <c r="AG1158" i="2"/>
  <c r="AE1158" i="2"/>
  <c r="AH1161" i="2"/>
  <c r="AH1242" i="2"/>
  <c r="AG1242" i="2"/>
  <c r="AF1242" i="2"/>
  <c r="AE1242" i="2"/>
  <c r="AI1242" i="2"/>
  <c r="AE1109" i="2"/>
  <c r="AE1125" i="2"/>
  <c r="AG1127" i="2"/>
  <c r="AH1136" i="2"/>
  <c r="AG1143" i="2"/>
  <c r="AI1145" i="2"/>
  <c r="AH1150" i="2"/>
  <c r="AE1151" i="2"/>
  <c r="AE1153" i="2"/>
  <c r="AE1155" i="2"/>
  <c r="AG1157" i="2"/>
  <c r="AI1161" i="2"/>
  <c r="AG1161" i="2"/>
  <c r="AF1161" i="2"/>
  <c r="U1167" i="2"/>
  <c r="W1172" i="2"/>
  <c r="X1172" i="2" s="1"/>
  <c r="Y1172" i="2" s="1"/>
  <c r="U1183" i="2"/>
  <c r="Y1192" i="2"/>
  <c r="X1192" i="2"/>
  <c r="W1192" i="2"/>
  <c r="W1195" i="2"/>
  <c r="X1195" i="2" s="1"/>
  <c r="Y1195" i="2" s="1"/>
  <c r="U1198" i="2"/>
  <c r="AF1198" i="2"/>
  <c r="AE1198" i="2"/>
  <c r="P1099" i="2"/>
  <c r="U1099" i="2" s="1"/>
  <c r="AO1099" i="2" s="1"/>
  <c r="AF1109" i="2"/>
  <c r="P1115" i="2"/>
  <c r="U1115" i="2" s="1"/>
  <c r="AE1116" i="2"/>
  <c r="AF1125" i="2"/>
  <c r="AH1127" i="2"/>
  <c r="P1131" i="2"/>
  <c r="U1131" i="2" s="1"/>
  <c r="AE1132" i="2"/>
  <c r="AF1141" i="2"/>
  <c r="AJ1141" i="2" s="1"/>
  <c r="AH1143" i="2"/>
  <c r="V1147" i="2"/>
  <c r="AF1155" i="2"/>
  <c r="AH1157" i="2"/>
  <c r="AF1158" i="2"/>
  <c r="P1161" i="2"/>
  <c r="U1161" i="2" s="1"/>
  <c r="AH1166" i="2"/>
  <c r="AG1166" i="2"/>
  <c r="AF1166" i="2"/>
  <c r="AE1166" i="2"/>
  <c r="AE1171" i="2"/>
  <c r="V1171" i="2"/>
  <c r="P1171" i="2"/>
  <c r="U1171" i="2" s="1"/>
  <c r="AI1171" i="2"/>
  <c r="AH1171" i="2"/>
  <c r="W1174" i="2"/>
  <c r="X1174" i="2" s="1"/>
  <c r="Y1174" i="2" s="1"/>
  <c r="X1189" i="2"/>
  <c r="Y1189" i="2" s="1"/>
  <c r="AH1195" i="2"/>
  <c r="AF1195" i="2"/>
  <c r="AI1163" i="2"/>
  <c r="AH1163" i="2"/>
  <c r="AG1163" i="2"/>
  <c r="AF1163" i="2"/>
  <c r="AE1163" i="2"/>
  <c r="W1166" i="2"/>
  <c r="X1166" i="2" s="1"/>
  <c r="Y1166" i="2" s="1"/>
  <c r="AI1172" i="2"/>
  <c r="AG1172" i="2"/>
  <c r="AI1192" i="2"/>
  <c r="AG1192" i="2"/>
  <c r="AF1192" i="2"/>
  <c r="AE1192" i="2"/>
  <c r="V1194" i="2"/>
  <c r="W1194" i="2" s="1"/>
  <c r="AI1194" i="2"/>
  <c r="AH1194" i="2"/>
  <c r="AG1194" i="2"/>
  <c r="AH1202" i="2"/>
  <c r="AE1202" i="2"/>
  <c r="AI1202" i="2"/>
  <c r="AL1202" i="2" s="1"/>
  <c r="AM1202" i="2" s="1"/>
  <c r="AN1202" i="2" s="1"/>
  <c r="AG1202" i="2"/>
  <c r="AF1202" i="2"/>
  <c r="P1145" i="2"/>
  <c r="U1145" i="2" s="1"/>
  <c r="AE1146" i="2"/>
  <c r="P1166" i="2"/>
  <c r="U1166" i="2" s="1"/>
  <c r="AH1182" i="2"/>
  <c r="AG1182" i="2"/>
  <c r="AF1182" i="2"/>
  <c r="AE1182" i="2"/>
  <c r="Y1185" i="2"/>
  <c r="X1185" i="2"/>
  <c r="W1185" i="2"/>
  <c r="AH1188" i="2"/>
  <c r="Y1200" i="2"/>
  <c r="X1200" i="2"/>
  <c r="AG1107" i="2"/>
  <c r="AJ1107" i="2" s="1"/>
  <c r="AH1116" i="2"/>
  <c r="AG1123" i="2"/>
  <c r="AJ1123" i="2" s="1"/>
  <c r="W1124" i="2"/>
  <c r="X1124" i="2" s="1"/>
  <c r="Y1124" i="2" s="1"/>
  <c r="AH1132" i="2"/>
  <c r="P1136" i="2"/>
  <c r="U1136" i="2" s="1"/>
  <c r="AE1137" i="2"/>
  <c r="AG1139" i="2"/>
  <c r="AJ1139" i="2" s="1"/>
  <c r="AF1146" i="2"/>
  <c r="AI1149" i="2"/>
  <c r="AF1149" i="2"/>
  <c r="AH1159" i="2"/>
  <c r="AF1159" i="2"/>
  <c r="AE1159" i="2"/>
  <c r="X1160" i="2"/>
  <c r="Y1160" i="2" s="1"/>
  <c r="V1161" i="2"/>
  <c r="AE1162" i="2"/>
  <c r="V1182" i="2"/>
  <c r="AI1191" i="2"/>
  <c r="AH1191" i="2"/>
  <c r="AG1191" i="2"/>
  <c r="AF1191" i="2"/>
  <c r="AE1191" i="2"/>
  <c r="AH1192" i="2"/>
  <c r="AE1128" i="2"/>
  <c r="AF1137" i="2"/>
  <c r="X1140" i="2"/>
  <c r="Y1140" i="2" s="1"/>
  <c r="AE1144" i="2"/>
  <c r="AG1146" i="2"/>
  <c r="U1149" i="2"/>
  <c r="AF1162" i="2"/>
  <c r="AI1165" i="2"/>
  <c r="AI1176" i="2"/>
  <c r="AG1183" i="2"/>
  <c r="AF1128" i="2"/>
  <c r="AG1137" i="2"/>
  <c r="AF1144" i="2"/>
  <c r="AG1150" i="2"/>
  <c r="AE1150" i="2"/>
  <c r="AG1162" i="2"/>
  <c r="U1165" i="2"/>
  <c r="W1176" i="2"/>
  <c r="X1176" i="2" s="1"/>
  <c r="Y1176" i="2" s="1"/>
  <c r="V1202" i="2"/>
  <c r="P1109" i="2"/>
  <c r="U1109" i="2" s="1"/>
  <c r="AO1109" i="2" s="1"/>
  <c r="P1125" i="2"/>
  <c r="U1125" i="2" s="1"/>
  <c r="AG1128" i="2"/>
  <c r="AH1137" i="2"/>
  <c r="P1141" i="2"/>
  <c r="U1141" i="2" s="1"/>
  <c r="AG1144" i="2"/>
  <c r="AF1147" i="2"/>
  <c r="X1148" i="2"/>
  <c r="Y1148" i="2" s="1"/>
  <c r="V1149" i="2"/>
  <c r="V1150" i="2"/>
  <c r="AI1151" i="2"/>
  <c r="AH1151" i="2"/>
  <c r="AF1151" i="2"/>
  <c r="AI1152" i="2"/>
  <c r="AG1152" i="2"/>
  <c r="AF1152" i="2"/>
  <c r="AH1153" i="2"/>
  <c r="AI1154" i="2"/>
  <c r="AH1154" i="2"/>
  <c r="AF1154" i="2"/>
  <c r="W1159" i="2"/>
  <c r="AH1162" i="2"/>
  <c r="AE1167" i="2"/>
  <c r="AH1169" i="2"/>
  <c r="W1179" i="2"/>
  <c r="X1179" i="2" s="1"/>
  <c r="Y1179" i="2" s="1"/>
  <c r="V1191" i="2"/>
  <c r="W1191" i="2" s="1"/>
  <c r="AE1194" i="2"/>
  <c r="AI1216" i="2"/>
  <c r="AF1216" i="2"/>
  <c r="AE1216" i="2"/>
  <c r="AH1216" i="2"/>
  <c r="AG1216" i="2"/>
  <c r="V1216" i="2"/>
  <c r="AG1147" i="2"/>
  <c r="P1150" i="2"/>
  <c r="U1150" i="2" s="1"/>
  <c r="V1152" i="2"/>
  <c r="AH1156" i="2"/>
  <c r="AH1158" i="2"/>
  <c r="AE1164" i="2"/>
  <c r="V1164" i="2"/>
  <c r="AI1166" i="2"/>
  <c r="W1173" i="2"/>
  <c r="X1173" i="2" s="1"/>
  <c r="Y1173" i="2" s="1"/>
  <c r="AG1176" i="2"/>
  <c r="AF1176" i="2"/>
  <c r="AE1176" i="2"/>
  <c r="AI1179" i="2"/>
  <c r="AH1179" i="2"/>
  <c r="AG1179" i="2"/>
  <c r="AF1179" i="2"/>
  <c r="AI1184" i="2"/>
  <c r="X1188" i="2"/>
  <c r="Y1188" i="2" s="1"/>
  <c r="AF1194" i="2"/>
  <c r="V1218" i="2"/>
  <c r="AI1218" i="2"/>
  <c r="AH1218" i="2"/>
  <c r="AG1218" i="2"/>
  <c r="AF1218" i="2"/>
  <c r="AE1218" i="2"/>
  <c r="W1233" i="2"/>
  <c r="X1233" i="2" s="1"/>
  <c r="Y1233" i="2" s="1"/>
  <c r="V1178" i="2"/>
  <c r="W1178" i="2" s="1"/>
  <c r="AI1178" i="2"/>
  <c r="AH1178" i="2"/>
  <c r="AG1178" i="2"/>
  <c r="Y1199" i="2"/>
  <c r="W1199" i="2"/>
  <c r="X1199" i="2"/>
  <c r="AI1147" i="2"/>
  <c r="W1151" i="2"/>
  <c r="X1151" i="2" s="1"/>
  <c r="Y1151" i="2" s="1"/>
  <c r="V1155" i="2"/>
  <c r="P1155" i="2"/>
  <c r="U1155" i="2" s="1"/>
  <c r="V1157" i="2"/>
  <c r="P1157" i="2"/>
  <c r="U1157" i="2" s="1"/>
  <c r="AH1172" i="2"/>
  <c r="AI1175" i="2"/>
  <c r="AH1175" i="2"/>
  <c r="AG1175" i="2"/>
  <c r="AF1175" i="2"/>
  <c r="AE1175" i="2"/>
  <c r="AH1176" i="2"/>
  <c r="AI1182" i="2"/>
  <c r="P1184" i="2"/>
  <c r="U1184" i="2" s="1"/>
  <c r="AI1185" i="2"/>
  <c r="AL1185" i="2" s="1"/>
  <c r="AM1185" i="2" s="1"/>
  <c r="AE1187" i="2"/>
  <c r="V1187" i="2"/>
  <c r="P1187" i="2"/>
  <c r="U1187" i="2" s="1"/>
  <c r="AI1187" i="2"/>
  <c r="AH1187" i="2"/>
  <c r="AF1169" i="2"/>
  <c r="AI1180" i="2"/>
  <c r="AI1196" i="2"/>
  <c r="AI1203" i="2"/>
  <c r="AF1203" i="2"/>
  <c r="AH1207" i="2"/>
  <c r="AI1211" i="2"/>
  <c r="AH1211" i="2"/>
  <c r="AG1211" i="2"/>
  <c r="AF1211" i="2"/>
  <c r="AE1211" i="2"/>
  <c r="AI1212" i="2"/>
  <c r="AG1212" i="2"/>
  <c r="AF1228" i="2"/>
  <c r="V1228" i="2"/>
  <c r="W1228" i="2" s="1"/>
  <c r="AI1236" i="2"/>
  <c r="AH1236" i="2"/>
  <c r="AG1236" i="2"/>
  <c r="AF1236" i="2"/>
  <c r="W1239" i="2"/>
  <c r="X1239" i="2" s="1"/>
  <c r="Y1239" i="2" s="1"/>
  <c r="V1242" i="2"/>
  <c r="V1193" i="2"/>
  <c r="AE1197" i="2"/>
  <c r="AH1205" i="2"/>
  <c r="AF1205" i="2"/>
  <c r="AH1210" i="2"/>
  <c r="AE1210" i="2"/>
  <c r="AG1217" i="2"/>
  <c r="AF1217" i="2"/>
  <c r="AE1217" i="2"/>
  <c r="W1252" i="2"/>
  <c r="X1252" i="2" s="1"/>
  <c r="Y1252" i="2" s="1"/>
  <c r="AG1160" i="2"/>
  <c r="AJ1160" i="2" s="1"/>
  <c r="AF1167" i="2"/>
  <c r="X1170" i="2"/>
  <c r="Y1170" i="2" s="1"/>
  <c r="P1173" i="2"/>
  <c r="U1173" i="2" s="1"/>
  <c r="AE1174" i="2"/>
  <c r="AF1183" i="2"/>
  <c r="AH1185" i="2"/>
  <c r="AJ1185" i="2" s="1"/>
  <c r="X1186" i="2"/>
  <c r="Y1186" i="2" s="1"/>
  <c r="P1189" i="2"/>
  <c r="U1189" i="2" s="1"/>
  <c r="AE1190" i="2"/>
  <c r="P1203" i="2"/>
  <c r="U1203" i="2" s="1"/>
  <c r="AO1203" i="2" s="1"/>
  <c r="V1205" i="2"/>
  <c r="W1205" i="2" s="1"/>
  <c r="V1206" i="2"/>
  <c r="W1206" i="2" s="1"/>
  <c r="P1206" i="2"/>
  <c r="U1206" i="2" s="1"/>
  <c r="AO1206" i="2" s="1"/>
  <c r="P1207" i="2"/>
  <c r="U1207" i="2" s="1"/>
  <c r="V1209" i="2"/>
  <c r="P1209" i="2"/>
  <c r="U1209" i="2" s="1"/>
  <c r="AO1209" i="2" s="1"/>
  <c r="AG1209" i="2"/>
  <c r="AE1209" i="2"/>
  <c r="W1211" i="2"/>
  <c r="X1211" i="2" s="1"/>
  <c r="Y1211" i="2" s="1"/>
  <c r="AF1212" i="2"/>
  <c r="V1217" i="2"/>
  <c r="W1221" i="2"/>
  <c r="X1221" i="2" s="1"/>
  <c r="Y1221" i="2" s="1"/>
  <c r="AI1235" i="2"/>
  <c r="AH1235" i="2"/>
  <c r="AG1235" i="2"/>
  <c r="AF1235" i="2"/>
  <c r="AE1235" i="2"/>
  <c r="AE1236" i="2"/>
  <c r="AI1244" i="2"/>
  <c r="U1260" i="2"/>
  <c r="AI1260" i="2"/>
  <c r="AH1260" i="2"/>
  <c r="AF1260" i="2"/>
  <c r="AE1260" i="2"/>
  <c r="W1235" i="2"/>
  <c r="X1235" i="2" s="1"/>
  <c r="Y1235" i="2" s="1"/>
  <c r="W1238" i="2"/>
  <c r="X1238" i="2" s="1"/>
  <c r="Y1238" i="2" s="1"/>
  <c r="AI1262" i="2"/>
  <c r="AH1262" i="2"/>
  <c r="AG1262" i="2"/>
  <c r="V1262" i="2"/>
  <c r="W1262" i="2" s="1"/>
  <c r="P1262" i="2"/>
  <c r="U1262" i="2" s="1"/>
  <c r="AI1294" i="2"/>
  <c r="AH1294" i="2"/>
  <c r="AG1294" i="2"/>
  <c r="AF1294" i="2"/>
  <c r="AE1294" i="2"/>
  <c r="AE1156" i="2"/>
  <c r="AF1165" i="2"/>
  <c r="AH1167" i="2"/>
  <c r="AE1172" i="2"/>
  <c r="AG1174" i="2"/>
  <c r="Y1177" i="2"/>
  <c r="AF1181" i="2"/>
  <c r="AH1183" i="2"/>
  <c r="AE1188" i="2"/>
  <c r="AG1190" i="2"/>
  <c r="AG1199" i="2"/>
  <c r="AE1200" i="2"/>
  <c r="V1210" i="2"/>
  <c r="AF1220" i="2"/>
  <c r="P1235" i="2"/>
  <c r="U1235" i="2" s="1"/>
  <c r="AI1252" i="2"/>
  <c r="AH1252" i="2"/>
  <c r="AG1252" i="2"/>
  <c r="AF1252" i="2"/>
  <c r="AE1252" i="2"/>
  <c r="AF1156" i="2"/>
  <c r="AG1165" i="2"/>
  <c r="AF1172" i="2"/>
  <c r="AG1181" i="2"/>
  <c r="AI1183" i="2"/>
  <c r="AF1188" i="2"/>
  <c r="AH1190" i="2"/>
  <c r="AE1195" i="2"/>
  <c r="AG1200" i="2"/>
  <c r="V1207" i="2"/>
  <c r="X1208" i="2"/>
  <c r="Y1208" i="2" s="1"/>
  <c r="AJ1208" i="2"/>
  <c r="W1220" i="2"/>
  <c r="X1220" i="2" s="1"/>
  <c r="Y1220" i="2" s="1"/>
  <c r="W1225" i="2"/>
  <c r="X1225" i="2" s="1"/>
  <c r="Y1225" i="2" s="1"/>
  <c r="W1249" i="2"/>
  <c r="X1249" i="2" s="1"/>
  <c r="Y1249" i="2" s="1"/>
  <c r="W1254" i="2"/>
  <c r="X1254" i="2" s="1"/>
  <c r="Y1254" i="2" s="1"/>
  <c r="AH1165" i="2"/>
  <c r="AE1170" i="2"/>
  <c r="V1180" i="2"/>
  <c r="AH1181" i="2"/>
  <c r="AE1186" i="2"/>
  <c r="V1196" i="2"/>
  <c r="W1196" i="2" s="1"/>
  <c r="AE1201" i="2"/>
  <c r="P1160" i="2"/>
  <c r="U1160" i="2" s="1"/>
  <c r="AF1170" i="2"/>
  <c r="P1176" i="2"/>
  <c r="U1176" i="2" s="1"/>
  <c r="AE1177" i="2"/>
  <c r="AF1186" i="2"/>
  <c r="P1192" i="2"/>
  <c r="U1192" i="2" s="1"/>
  <c r="AO1192" i="2" s="1"/>
  <c r="AE1193" i="2"/>
  <c r="AG1195" i="2"/>
  <c r="AH1197" i="2"/>
  <c r="AG1197" i="2"/>
  <c r="AF1201" i="2"/>
  <c r="X1204" i="2"/>
  <c r="Y1204" i="2" s="1"/>
  <c r="AE1207" i="2"/>
  <c r="V1227" i="2"/>
  <c r="W1227" i="2" s="1"/>
  <c r="P1227" i="2"/>
  <c r="U1227" i="2" s="1"/>
  <c r="W1230" i="2"/>
  <c r="X1230" i="2" s="1"/>
  <c r="Y1230" i="2" s="1"/>
  <c r="X1232" i="2"/>
  <c r="Y1232" i="2" s="1"/>
  <c r="AI1243" i="2"/>
  <c r="AI1251" i="2"/>
  <c r="AH1251" i="2"/>
  <c r="AG1251" i="2"/>
  <c r="AF1251" i="2"/>
  <c r="AE1251" i="2"/>
  <c r="W1323" i="2"/>
  <c r="X1323" i="2" s="1"/>
  <c r="Y1323" i="2" s="1"/>
  <c r="AE1168" i="2"/>
  <c r="AG1170" i="2"/>
  <c r="AF1177" i="2"/>
  <c r="AE1184" i="2"/>
  <c r="AG1186" i="2"/>
  <c r="AF1193" i="2"/>
  <c r="AH1201" i="2"/>
  <c r="V1251" i="2"/>
  <c r="P1251" i="2"/>
  <c r="U1251" i="2" s="1"/>
  <c r="W1257" i="2"/>
  <c r="X1257" i="2" s="1"/>
  <c r="Y1257" i="2" s="1"/>
  <c r="P1158" i="2"/>
  <c r="U1158" i="2" s="1"/>
  <c r="AF1168" i="2"/>
  <c r="AH1170" i="2"/>
  <c r="P1174" i="2"/>
  <c r="U1174" i="2" s="1"/>
  <c r="AG1177" i="2"/>
  <c r="AF1184" i="2"/>
  <c r="AH1186" i="2"/>
  <c r="P1190" i="2"/>
  <c r="U1190" i="2" s="1"/>
  <c r="AG1193" i="2"/>
  <c r="AI1198" i="2"/>
  <c r="AG1198" i="2"/>
  <c r="AI1201" i="2"/>
  <c r="AL1201" i="2" s="1"/>
  <c r="AM1201" i="2" s="1"/>
  <c r="AE1203" i="2"/>
  <c r="AE1205" i="2"/>
  <c r="AE1206" i="2"/>
  <c r="AF1207" i="2"/>
  <c r="AF1210" i="2"/>
  <c r="AI1213" i="2"/>
  <c r="W1215" i="2"/>
  <c r="X1215" i="2" s="1"/>
  <c r="Y1215" i="2" s="1"/>
  <c r="AH1217" i="2"/>
  <c r="AI1219" i="2"/>
  <c r="AH1219" i="2"/>
  <c r="AG1219" i="2"/>
  <c r="AF1219" i="2"/>
  <c r="AI1220" i="2"/>
  <c r="AH1220" i="2"/>
  <c r="AG1220" i="2"/>
  <c r="X1224" i="2"/>
  <c r="Y1224" i="2" s="1"/>
  <c r="X1241" i="2"/>
  <c r="Y1241" i="2" s="1"/>
  <c r="W1243" i="2"/>
  <c r="X1243" i="2" s="1"/>
  <c r="Y1243" i="2" s="1"/>
  <c r="W1153" i="2"/>
  <c r="X1153" i="2" s="1"/>
  <c r="Y1153" i="2" s="1"/>
  <c r="AG1168" i="2"/>
  <c r="W1169" i="2"/>
  <c r="X1169" i="2" s="1"/>
  <c r="Y1169" i="2" s="1"/>
  <c r="AG1184" i="2"/>
  <c r="AE1199" i="2"/>
  <c r="AG1203" i="2"/>
  <c r="AE1204" i="2"/>
  <c r="AG1205" i="2"/>
  <c r="AF1206" i="2"/>
  <c r="AG1207" i="2"/>
  <c r="AF1209" i="2"/>
  <c r="AG1210" i="2"/>
  <c r="AI1217" i="2"/>
  <c r="W1219" i="2"/>
  <c r="X1219" i="2" s="1"/>
  <c r="Y1219" i="2" s="1"/>
  <c r="U1234" i="2"/>
  <c r="Y1259" i="2"/>
  <c r="W1317" i="2"/>
  <c r="X1317" i="2" s="1"/>
  <c r="Y1317" i="2" s="1"/>
  <c r="AH1168" i="2"/>
  <c r="AE1173" i="2"/>
  <c r="AH1184" i="2"/>
  <c r="AE1189" i="2"/>
  <c r="W1198" i="2"/>
  <c r="X1198" i="2" s="1"/>
  <c r="Y1198" i="2" s="1"/>
  <c r="AI1200" i="2"/>
  <c r="AF1200" i="2"/>
  <c r="AH1203" i="2"/>
  <c r="AH1204" i="2"/>
  <c r="AI1205" i="2"/>
  <c r="AL1205" i="2" s="1"/>
  <c r="AM1205" i="2" s="1"/>
  <c r="AN1205" i="2" s="1"/>
  <c r="AI1210" i="2"/>
  <c r="AL1210" i="2" s="1"/>
  <c r="AM1210" i="2" s="1"/>
  <c r="AN1210" i="2" s="1"/>
  <c r="U1219" i="2"/>
  <c r="X1223" i="2"/>
  <c r="Y1223" i="2" s="1"/>
  <c r="W1234" i="2"/>
  <c r="X1234" i="2" s="1"/>
  <c r="Y1234" i="2" s="1"/>
  <c r="AF1173" i="2"/>
  <c r="AE1180" i="2"/>
  <c r="AF1189" i="2"/>
  <c r="AE1196" i="2"/>
  <c r="AI1204" i="2"/>
  <c r="AL1204" i="2" s="1"/>
  <c r="AM1204" i="2" s="1"/>
  <c r="AN1204" i="2" s="1"/>
  <c r="AE1212" i="2"/>
  <c r="W1213" i="2"/>
  <c r="X1213" i="2" s="1"/>
  <c r="Y1213" i="2" s="1"/>
  <c r="AH1226" i="2"/>
  <c r="AG1226" i="2"/>
  <c r="AF1226" i="2"/>
  <c r="AE1226" i="2"/>
  <c r="AF1259" i="2"/>
  <c r="AE1259" i="2"/>
  <c r="AH1285" i="2"/>
  <c r="AG1285" i="2"/>
  <c r="AF1285" i="2"/>
  <c r="AE1285" i="2"/>
  <c r="V1285" i="2"/>
  <c r="AI1285" i="2"/>
  <c r="AL1208" i="2"/>
  <c r="AM1208" i="2" s="1"/>
  <c r="AN1208" i="2" s="1"/>
  <c r="W1222" i="2"/>
  <c r="X1222" i="2" s="1"/>
  <c r="Y1222" i="2" s="1"/>
  <c r="V1226" i="2"/>
  <c r="P1226" i="2"/>
  <c r="U1226" i="2" s="1"/>
  <c r="AG1233" i="2"/>
  <c r="AF1233" i="2"/>
  <c r="AE1233" i="2"/>
  <c r="W1236" i="2"/>
  <c r="X1236" i="2" s="1"/>
  <c r="Y1236" i="2" s="1"/>
  <c r="W1248" i="2"/>
  <c r="X1248" i="2" s="1"/>
  <c r="Y1248" i="2" s="1"/>
  <c r="W1270" i="2"/>
  <c r="X1270" i="2" s="1"/>
  <c r="Y1270" i="2" s="1"/>
  <c r="V1294" i="2"/>
  <c r="Y1340" i="2"/>
  <c r="X1340" i="2"/>
  <c r="W1340" i="2"/>
  <c r="W1255" i="2"/>
  <c r="X1255" i="2" s="1"/>
  <c r="Y1255" i="2" s="1"/>
  <c r="V1258" i="2"/>
  <c r="W1290" i="2"/>
  <c r="X1290" i="2" s="1"/>
  <c r="Y1290" i="2" s="1"/>
  <c r="AJ1290" i="2"/>
  <c r="W1301" i="2"/>
  <c r="X1301" i="2" s="1"/>
  <c r="Y1301" i="2" s="1"/>
  <c r="W1307" i="2"/>
  <c r="X1307" i="2" s="1"/>
  <c r="Y1307" i="2" s="1"/>
  <c r="V1319" i="2"/>
  <c r="W1319" i="2" s="1"/>
  <c r="P1319" i="2"/>
  <c r="U1319" i="2" s="1"/>
  <c r="W1325" i="2"/>
  <c r="Y1325" i="2"/>
  <c r="AI1199" i="2"/>
  <c r="AH1206" i="2"/>
  <c r="AG1213" i="2"/>
  <c r="AI1215" i="2"/>
  <c r="AJ1215" i="2" s="1"/>
  <c r="AH1222" i="2"/>
  <c r="AJ1222" i="2" s="1"/>
  <c r="AJ1224" i="2"/>
  <c r="AE1227" i="2"/>
  <c r="AG1229" i="2"/>
  <c r="AI1231" i="2"/>
  <c r="AL1231" i="2" s="1"/>
  <c r="AM1231" i="2" s="1"/>
  <c r="V1237" i="2"/>
  <c r="W1237" i="2" s="1"/>
  <c r="AH1238" i="2"/>
  <c r="AJ1238" i="2" s="1"/>
  <c r="AJ1240" i="2"/>
  <c r="AK1240" i="2" s="1"/>
  <c r="AL1240" i="2" s="1"/>
  <c r="AM1240" i="2" s="1"/>
  <c r="AO1240" i="2" s="1"/>
  <c r="P1242" i="2"/>
  <c r="U1242" i="2" s="1"/>
  <c r="AE1243" i="2"/>
  <c r="AG1245" i="2"/>
  <c r="AI1247" i="2"/>
  <c r="AJ1247" i="2" s="1"/>
  <c r="V1253" i="2"/>
  <c r="AH1254" i="2"/>
  <c r="AJ1254" i="2" s="1"/>
  <c r="P1258" i="2"/>
  <c r="U1258" i="2" s="1"/>
  <c r="W1261" i="2"/>
  <c r="X1261" i="2" s="1"/>
  <c r="Y1261" i="2" s="1"/>
  <c r="AG1263" i="2"/>
  <c r="V1265" i="2"/>
  <c r="P1265" i="2"/>
  <c r="U1265" i="2" s="1"/>
  <c r="U1270" i="2"/>
  <c r="AI1287" i="2"/>
  <c r="AE1288" i="2"/>
  <c r="AI1303" i="2"/>
  <c r="Y1327" i="2"/>
  <c r="X1327" i="2"/>
  <c r="Y1329" i="2"/>
  <c r="X1329" i="2"/>
  <c r="AH1213" i="2"/>
  <c r="AF1227" i="2"/>
  <c r="AH1229" i="2"/>
  <c r="AE1234" i="2"/>
  <c r="AF1243" i="2"/>
  <c r="AH1245" i="2"/>
  <c r="X1246" i="2"/>
  <c r="Y1246" i="2" s="1"/>
  <c r="AE1250" i="2"/>
  <c r="V1263" i="2"/>
  <c r="P1263" i="2"/>
  <c r="U1263" i="2" s="1"/>
  <c r="AH1269" i="2"/>
  <c r="AG1269" i="2"/>
  <c r="AF1269" i="2"/>
  <c r="AE1269" i="2"/>
  <c r="W1291" i="2"/>
  <c r="X1291" i="2" s="1"/>
  <c r="Y1291" i="2" s="1"/>
  <c r="V1303" i="2"/>
  <c r="W1303" i="2" s="1"/>
  <c r="P1303" i="2"/>
  <c r="U1303" i="2" s="1"/>
  <c r="AE1225" i="2"/>
  <c r="AG1227" i="2"/>
  <c r="AF1234" i="2"/>
  <c r="AE1241" i="2"/>
  <c r="AG1243" i="2"/>
  <c r="AF1250" i="2"/>
  <c r="AG1279" i="2"/>
  <c r="X1325" i="2"/>
  <c r="AH1327" i="2"/>
  <c r="AG1327" i="2"/>
  <c r="AF1327" i="2"/>
  <c r="AE1327" i="2"/>
  <c r="W1334" i="2"/>
  <c r="X1334" i="2" s="1"/>
  <c r="Y1334" i="2" s="1"/>
  <c r="AF1225" i="2"/>
  <c r="AH1227" i="2"/>
  <c r="AE1232" i="2"/>
  <c r="AG1234" i="2"/>
  <c r="AF1241" i="2"/>
  <c r="AE1248" i="2"/>
  <c r="AG1250" i="2"/>
  <c r="AF1257" i="2"/>
  <c r="AI1259" i="2"/>
  <c r="AH1259" i="2"/>
  <c r="W1279" i="2"/>
  <c r="X1279" i="2" s="1"/>
  <c r="Y1279" i="2" s="1"/>
  <c r="W1282" i="2"/>
  <c r="X1282" i="2" s="1"/>
  <c r="Y1282" i="2" s="1"/>
  <c r="W1287" i="2"/>
  <c r="X1287" i="2" s="1"/>
  <c r="Y1287" i="2" s="1"/>
  <c r="AG1311" i="2"/>
  <c r="W1329" i="2"/>
  <c r="Y1336" i="2"/>
  <c r="X1336" i="2"/>
  <c r="W1336" i="2"/>
  <c r="P1222" i="2"/>
  <c r="U1222" i="2" s="1"/>
  <c r="AE1223" i="2"/>
  <c r="AJ1223" i="2" s="1"/>
  <c r="AG1225" i="2"/>
  <c r="AF1232" i="2"/>
  <c r="AH1234" i="2"/>
  <c r="P1238" i="2"/>
  <c r="U1238" i="2" s="1"/>
  <c r="AE1239" i="2"/>
  <c r="AF1248" i="2"/>
  <c r="AH1250" i="2"/>
  <c r="P1254" i="2"/>
  <c r="U1254" i="2" s="1"/>
  <c r="AE1255" i="2"/>
  <c r="AE1265" i="2"/>
  <c r="AF1266" i="2"/>
  <c r="AE1266" i="2"/>
  <c r="W1272" i="2"/>
  <c r="X1272" i="2" s="1"/>
  <c r="Y1272" i="2" s="1"/>
  <c r="W1311" i="2"/>
  <c r="X1311" i="2" s="1"/>
  <c r="Y1311" i="2" s="1"/>
  <c r="W1332" i="2"/>
  <c r="X1332" i="2" s="1"/>
  <c r="Y1332" i="2" s="1"/>
  <c r="AH1225" i="2"/>
  <c r="AG1232" i="2"/>
  <c r="AI1234" i="2"/>
  <c r="AF1239" i="2"/>
  <c r="AH1241" i="2"/>
  <c r="AE1246" i="2"/>
  <c r="AG1248" i="2"/>
  <c r="AI1250" i="2"/>
  <c r="AF1255" i="2"/>
  <c r="AH1257" i="2"/>
  <c r="AF1261" i="2"/>
  <c r="W1269" i="2"/>
  <c r="X1269" i="2" s="1"/>
  <c r="Y1269" i="2" s="1"/>
  <c r="AE1270" i="2"/>
  <c r="AL1277" i="2"/>
  <c r="AM1277" i="2" s="1"/>
  <c r="AI1279" i="2"/>
  <c r="AH1279" i="2"/>
  <c r="AF1279" i="2"/>
  <c r="AE1279" i="2"/>
  <c r="AG1295" i="2"/>
  <c r="AJ1313" i="2"/>
  <c r="W1295" i="2"/>
  <c r="X1295" i="2" s="1"/>
  <c r="Y1295" i="2" s="1"/>
  <c r="AI1311" i="2"/>
  <c r="AH1311" i="2"/>
  <c r="AF1311" i="2"/>
  <c r="AE1311" i="2"/>
  <c r="W1313" i="2"/>
  <c r="X1313" i="2" s="1"/>
  <c r="Y1313" i="2" s="1"/>
  <c r="W1318" i="2"/>
  <c r="X1318" i="2" s="1"/>
  <c r="Y1318" i="2" s="1"/>
  <c r="W1320" i="2"/>
  <c r="X1320" i="2" s="1"/>
  <c r="Y1320" i="2" s="1"/>
  <c r="Y1324" i="2"/>
  <c r="X1324" i="2"/>
  <c r="W1324" i="2"/>
  <c r="W1339" i="2"/>
  <c r="X1339" i="2" s="1"/>
  <c r="Y1339" i="2" s="1"/>
  <c r="W1341" i="2"/>
  <c r="Y1341" i="2"/>
  <c r="AG1214" i="2"/>
  <c r="AJ1214" i="2" s="1"/>
  <c r="AF1221" i="2"/>
  <c r="AJ1221" i="2" s="1"/>
  <c r="AE1228" i="2"/>
  <c r="AG1230" i="2"/>
  <c r="AJ1230" i="2" s="1"/>
  <c r="W1231" i="2"/>
  <c r="AF1237" i="2"/>
  <c r="P1243" i="2"/>
  <c r="U1243" i="2" s="1"/>
  <c r="AE1244" i="2"/>
  <c r="AG1246" i="2"/>
  <c r="W1247" i="2"/>
  <c r="X1247" i="2" s="1"/>
  <c r="Y1247" i="2" s="1"/>
  <c r="AH1261" i="2"/>
  <c r="AH1265" i="2"/>
  <c r="W1286" i="2"/>
  <c r="X1286" i="2" s="1"/>
  <c r="Y1286" i="2" s="1"/>
  <c r="X1297" i="2"/>
  <c r="Y1297" i="2" s="1"/>
  <c r="AJ1297" i="2"/>
  <c r="W1302" i="2"/>
  <c r="X1302" i="2" s="1"/>
  <c r="Y1302" i="2" s="1"/>
  <c r="W1316" i="2"/>
  <c r="X1316" i="2" s="1"/>
  <c r="Y1316" i="2" s="1"/>
  <c r="AI1326" i="2"/>
  <c r="AH1326" i="2"/>
  <c r="AG1326" i="2"/>
  <c r="AF1326" i="2"/>
  <c r="AE1326" i="2"/>
  <c r="AG1336" i="2"/>
  <c r="AF1336" i="2"/>
  <c r="AE1336" i="2"/>
  <c r="X1231" i="2"/>
  <c r="AH1246" i="2"/>
  <c r="AI1255" i="2"/>
  <c r="AE1258" i="2"/>
  <c r="AI1295" i="2"/>
  <c r="AH1295" i="2"/>
  <c r="AF1295" i="2"/>
  <c r="AE1295" i="2"/>
  <c r="W1304" i="2"/>
  <c r="X1304" i="2" s="1"/>
  <c r="Y1304" i="2" s="1"/>
  <c r="W1308" i="2"/>
  <c r="X1308" i="2" s="1"/>
  <c r="Y1308" i="2" s="1"/>
  <c r="Y1326" i="2"/>
  <c r="X1326" i="2"/>
  <c r="Y1338" i="2"/>
  <c r="X1338" i="2"/>
  <c r="W1338" i="2"/>
  <c r="AJ1338" i="2"/>
  <c r="X1341" i="2"/>
  <c r="P1225" i="2"/>
  <c r="U1225" i="2" s="1"/>
  <c r="AG1228" i="2"/>
  <c r="P1241" i="2"/>
  <c r="U1241" i="2" s="1"/>
  <c r="AG1244" i="2"/>
  <c r="P1257" i="2"/>
  <c r="U1257" i="2" s="1"/>
  <c r="AF1258" i="2"/>
  <c r="AF1263" i="2"/>
  <c r="AF1267" i="2"/>
  <c r="AE1267" i="2"/>
  <c r="V1267" i="2"/>
  <c r="W1267" i="2" s="1"/>
  <c r="AI1267" i="2"/>
  <c r="AI1278" i="2"/>
  <c r="AH1278" i="2"/>
  <c r="AG1278" i="2"/>
  <c r="AF1278" i="2"/>
  <c r="AE1278" i="2"/>
  <c r="W1326" i="2"/>
  <c r="AH1228" i="2"/>
  <c r="X1229" i="2"/>
  <c r="Y1229" i="2" s="1"/>
  <c r="AE1249" i="2"/>
  <c r="AG1258" i="2"/>
  <c r="W1274" i="2"/>
  <c r="X1274" i="2" s="1"/>
  <c r="Y1274" i="2" s="1"/>
  <c r="AJ1274" i="2"/>
  <c r="V1278" i="2"/>
  <c r="P1278" i="2"/>
  <c r="U1278" i="2" s="1"/>
  <c r="AO1278" i="2" s="1"/>
  <c r="W1288" i="2"/>
  <c r="X1288" i="2" s="1"/>
  <c r="Y1288" i="2" s="1"/>
  <c r="W1292" i="2"/>
  <c r="X1292" i="2" s="1"/>
  <c r="Y1292" i="2" s="1"/>
  <c r="W1333" i="2"/>
  <c r="X1333" i="2" s="1"/>
  <c r="Y1333" i="2" s="1"/>
  <c r="AF1249" i="2"/>
  <c r="AE1256" i="2"/>
  <c r="AJ1256" i="2" s="1"/>
  <c r="AH1258" i="2"/>
  <c r="V1260" i="2"/>
  <c r="AI1263" i="2"/>
  <c r="W1271" i="2"/>
  <c r="X1271" i="2" s="1"/>
  <c r="Y1271" i="2" s="1"/>
  <c r="AI1310" i="2"/>
  <c r="AH1310" i="2"/>
  <c r="AG1310" i="2"/>
  <c r="AF1310" i="2"/>
  <c r="AE1310" i="2"/>
  <c r="AG1320" i="2"/>
  <c r="AF1320" i="2"/>
  <c r="AE1320" i="2"/>
  <c r="W1322" i="2"/>
  <c r="X1322" i="2" s="1"/>
  <c r="Y1322" i="2" s="1"/>
  <c r="AJ1322" i="2"/>
  <c r="V1335" i="2"/>
  <c r="W1335" i="2" s="1"/>
  <c r="P1335" i="2"/>
  <c r="U1335" i="2" s="1"/>
  <c r="AF1262" i="2"/>
  <c r="AE1262" i="2"/>
  <c r="AH1268" i="2"/>
  <c r="AG1268" i="2"/>
  <c r="AE1268" i="2"/>
  <c r="W1275" i="2"/>
  <c r="X1275" i="2" s="1"/>
  <c r="Y1275" i="2" s="1"/>
  <c r="AH1286" i="2"/>
  <c r="AE1286" i="2"/>
  <c r="AF1304" i="2"/>
  <c r="V1310" i="2"/>
  <c r="W1310" i="2" s="1"/>
  <c r="AI1340" i="2"/>
  <c r="Y1268" i="2"/>
  <c r="AF1272" i="2"/>
  <c r="AG1281" i="2"/>
  <c r="AJ1281" i="2" s="1"/>
  <c r="AI1283" i="2"/>
  <c r="AF1288" i="2"/>
  <c r="P1294" i="2"/>
  <c r="U1294" i="2" s="1"/>
  <c r="W1298" i="2"/>
  <c r="X1298" i="2" s="1"/>
  <c r="Y1298" i="2" s="1"/>
  <c r="AI1299" i="2"/>
  <c r="P1310" i="2"/>
  <c r="U1310" i="2" s="1"/>
  <c r="W1314" i="2"/>
  <c r="X1314" i="2" s="1"/>
  <c r="Y1314" i="2" s="1"/>
  <c r="AI1315" i="2"/>
  <c r="P1326" i="2"/>
  <c r="U1326" i="2" s="1"/>
  <c r="W1330" i="2"/>
  <c r="AI1331" i="2"/>
  <c r="X1330" i="2"/>
  <c r="P1333" i="2"/>
  <c r="U1333" i="2" s="1"/>
  <c r="AE1334" i="2"/>
  <c r="AF1270" i="2"/>
  <c r="AH1272" i="2"/>
  <c r="P1276" i="2"/>
  <c r="U1276" i="2" s="1"/>
  <c r="AO1276" i="2" s="1"/>
  <c r="AF1286" i="2"/>
  <c r="AH1288" i="2"/>
  <c r="X1289" i="2"/>
  <c r="Y1289" i="2" s="1"/>
  <c r="P1292" i="2"/>
  <c r="U1292" i="2" s="1"/>
  <c r="AE1293" i="2"/>
  <c r="AF1302" i="2"/>
  <c r="AH1304" i="2"/>
  <c r="X1305" i="2"/>
  <c r="Y1305" i="2" s="1"/>
  <c r="P1308" i="2"/>
  <c r="U1308" i="2" s="1"/>
  <c r="AF1318" i="2"/>
  <c r="AH1320" i="2"/>
  <c r="X1321" i="2"/>
  <c r="Y1321" i="2" s="1"/>
  <c r="P1324" i="2"/>
  <c r="U1324" i="2" s="1"/>
  <c r="AE1325" i="2"/>
  <c r="AI1329" i="2"/>
  <c r="Y1330" i="2"/>
  <c r="AF1334" i="2"/>
  <c r="AH1336" i="2"/>
  <c r="X1337" i="2"/>
  <c r="P1340" i="2"/>
  <c r="U1340" i="2" s="1"/>
  <c r="AE1341" i="2"/>
  <c r="AG1270" i="2"/>
  <c r="AF1277" i="2"/>
  <c r="X1280" i="2"/>
  <c r="Y1280" i="2" s="1"/>
  <c r="AE1284" i="2"/>
  <c r="AG1286" i="2"/>
  <c r="AI1288" i="2"/>
  <c r="AF1293" i="2"/>
  <c r="X1296" i="2"/>
  <c r="Y1296" i="2" s="1"/>
  <c r="AE1300" i="2"/>
  <c r="AG1302" i="2"/>
  <c r="AI1304" i="2"/>
  <c r="AF1309" i="2"/>
  <c r="X1312" i="2"/>
  <c r="Y1312" i="2" s="1"/>
  <c r="AE1316" i="2"/>
  <c r="AG1318" i="2"/>
  <c r="AI1320" i="2"/>
  <c r="AF1325" i="2"/>
  <c r="X1328" i="2"/>
  <c r="AE1332" i="2"/>
  <c r="Y1337" i="2"/>
  <c r="AF1341" i="2"/>
  <c r="AF1284" i="2"/>
  <c r="AF1300" i="2"/>
  <c r="AH1302" i="2"/>
  <c r="AG1309" i="2"/>
  <c r="AF1316" i="2"/>
  <c r="AH1318" i="2"/>
  <c r="AG1325" i="2"/>
  <c r="Y1328" i="2"/>
  <c r="AF1332" i="2"/>
  <c r="AH1334" i="2"/>
  <c r="P1338" i="2"/>
  <c r="U1338" i="2" s="1"/>
  <c r="AI1270" i="2"/>
  <c r="AF1275" i="2"/>
  <c r="V1276" i="2"/>
  <c r="AH1277" i="2"/>
  <c r="P1281" i="2"/>
  <c r="U1281" i="2" s="1"/>
  <c r="AE1282" i="2"/>
  <c r="AG1284" i="2"/>
  <c r="AI1286" i="2"/>
  <c r="AF1291" i="2"/>
  <c r="AH1293" i="2"/>
  <c r="P1297" i="2"/>
  <c r="U1297" i="2" s="1"/>
  <c r="AE1298" i="2"/>
  <c r="AG1300" i="2"/>
  <c r="AI1302" i="2"/>
  <c r="AF1307" i="2"/>
  <c r="AH1309" i="2"/>
  <c r="P1313" i="2"/>
  <c r="U1313" i="2" s="1"/>
  <c r="AE1314" i="2"/>
  <c r="AG1316" i="2"/>
  <c r="AF1323" i="2"/>
  <c r="AH1325" i="2"/>
  <c r="AE1330" i="2"/>
  <c r="AG1332" i="2"/>
  <c r="AF1339" i="2"/>
  <c r="AH1341" i="2"/>
  <c r="V1283" i="2"/>
  <c r="W1283" i="2" s="1"/>
  <c r="V1299" i="2"/>
  <c r="V1315" i="2"/>
  <c r="W1315" i="2" s="1"/>
  <c r="AF1330" i="2"/>
  <c r="V1331" i="2"/>
  <c r="AH1332" i="2"/>
  <c r="AE1264" i="2"/>
  <c r="AG1266" i="2"/>
  <c r="AF1273" i="2"/>
  <c r="AH1275" i="2"/>
  <c r="P1279" i="2"/>
  <c r="U1279" i="2" s="1"/>
  <c r="AO1279" i="2" s="1"/>
  <c r="AE1280" i="2"/>
  <c r="AF1289" i="2"/>
  <c r="AH1291" i="2"/>
  <c r="P1295" i="2"/>
  <c r="U1295" i="2" s="1"/>
  <c r="AE1296" i="2"/>
  <c r="AG1298" i="2"/>
  <c r="AF1305" i="2"/>
  <c r="AH1307" i="2"/>
  <c r="P1311" i="2"/>
  <c r="U1311" i="2" s="1"/>
  <c r="AE1312" i="2"/>
  <c r="AG1314" i="2"/>
  <c r="AF1321" i="2"/>
  <c r="AH1323" i="2"/>
  <c r="P1327" i="2"/>
  <c r="U1327" i="2" s="1"/>
  <c r="AE1328" i="2"/>
  <c r="AG1330" i="2"/>
  <c r="AI1332" i="2"/>
  <c r="AF1337" i="2"/>
  <c r="AH1339" i="2"/>
  <c r="AF1264" i="2"/>
  <c r="AE1271" i="2"/>
  <c r="AG1273" i="2"/>
  <c r="AF1280" i="2"/>
  <c r="AH1282" i="2"/>
  <c r="AE1287" i="2"/>
  <c r="AG1289" i="2"/>
  <c r="AF1296" i="2"/>
  <c r="AH1298" i="2"/>
  <c r="AE1303" i="2"/>
  <c r="AG1305" i="2"/>
  <c r="AF1312" i="2"/>
  <c r="AH1314" i="2"/>
  <c r="AE1319" i="2"/>
  <c r="AG1321" i="2"/>
  <c r="AF1328" i="2"/>
  <c r="AE1335" i="2"/>
  <c r="AG1264" i="2"/>
  <c r="AF1271" i="2"/>
  <c r="AH1273" i="2"/>
  <c r="AG1280" i="2"/>
  <c r="AF1287" i="2"/>
  <c r="AH1289" i="2"/>
  <c r="AG1296" i="2"/>
  <c r="AF1303" i="2"/>
  <c r="AG1312" i="2"/>
  <c r="AF1319" i="2"/>
  <c r="AG1328" i="2"/>
  <c r="AF1335" i="2"/>
  <c r="AH1337" i="2"/>
  <c r="P1341" i="2"/>
  <c r="U1341" i="2" s="1"/>
  <c r="AH1264" i="2"/>
  <c r="AG1271" i="2"/>
  <c r="AH1280" i="2"/>
  <c r="AG1287" i="2"/>
  <c r="AH1296" i="2"/>
  <c r="AE1301" i="2"/>
  <c r="AG1303" i="2"/>
  <c r="AH1312" i="2"/>
  <c r="P1316" i="2"/>
  <c r="U1316" i="2" s="1"/>
  <c r="AE1317" i="2"/>
  <c r="AG1319" i="2"/>
  <c r="AH1328" i="2"/>
  <c r="AE1333" i="2"/>
  <c r="AG1335" i="2"/>
  <c r="AH1271" i="2"/>
  <c r="AE1276" i="2"/>
  <c r="AH1287" i="2"/>
  <c r="AE1292" i="2"/>
  <c r="AF1301" i="2"/>
  <c r="AH1303" i="2"/>
  <c r="AE1308" i="2"/>
  <c r="AF1317" i="2"/>
  <c r="AH1319" i="2"/>
  <c r="AE1324" i="2"/>
  <c r="AF1333" i="2"/>
  <c r="AH1335" i="2"/>
  <c r="AE1340" i="2"/>
  <c r="AE1283" i="2"/>
  <c r="AF1292" i="2"/>
  <c r="AE1299" i="2"/>
  <c r="AG1301" i="2"/>
  <c r="AF1308" i="2"/>
  <c r="AE1315" i="2"/>
  <c r="AG1317" i="2"/>
  <c r="AF1324" i="2"/>
  <c r="AE1331" i="2"/>
  <c r="AG1333" i="2"/>
  <c r="AF1340" i="2"/>
  <c r="AK1256" i="2" l="1"/>
  <c r="AL1256" i="2" s="1"/>
  <c r="AM1256" i="2" s="1"/>
  <c r="AO1256" i="2" s="1"/>
  <c r="AK506" i="2"/>
  <c r="AL506" i="2" s="1"/>
  <c r="AM506" i="2" s="1"/>
  <c r="AO506" i="2" s="1"/>
  <c r="AL1209" i="2"/>
  <c r="AM1209" i="2" s="1"/>
  <c r="AN1209" i="2" s="1"/>
  <c r="AK84" i="2"/>
  <c r="AL84" i="2" s="1"/>
  <c r="AM84" i="2" s="1"/>
  <c r="AO84" i="2" s="1"/>
  <c r="AK926" i="2"/>
  <c r="AL926" i="2" s="1"/>
  <c r="AM926" i="2" s="1"/>
  <c r="AO926" i="2" s="1"/>
  <c r="AJ794" i="2"/>
  <c r="AJ640" i="2"/>
  <c r="AJ582" i="2"/>
  <c r="AJ222" i="2"/>
  <c r="AK467" i="2"/>
  <c r="AL467" i="2" s="1"/>
  <c r="AM467" i="2" s="1"/>
  <c r="AO467" i="2" s="1"/>
  <c r="J11" i="1"/>
  <c r="AL352" i="2"/>
  <c r="AM352" i="2" s="1"/>
  <c r="AL177" i="2"/>
  <c r="AM177" i="2" s="1"/>
  <c r="AK107" i="2"/>
  <c r="J14" i="1"/>
  <c r="J8" i="1"/>
  <c r="J23" i="1"/>
  <c r="J17" i="1"/>
  <c r="J9" i="1"/>
  <c r="J19" i="1"/>
  <c r="J25" i="1"/>
  <c r="AJ364" i="2"/>
  <c r="AK1297" i="2"/>
  <c r="AL1297" i="2" s="1"/>
  <c r="AM1297" i="2" s="1"/>
  <c r="AK257" i="2"/>
  <c r="AL257" i="2" s="1"/>
  <c r="AM257" i="2" s="1"/>
  <c r="AO257" i="2" s="1"/>
  <c r="AK1078" i="2"/>
  <c r="AL1078" i="2" s="1"/>
  <c r="AM1078" i="2" s="1"/>
  <c r="AO1078" i="2" s="1"/>
  <c r="AJ596" i="2"/>
  <c r="AJ294" i="2"/>
  <c r="AJ566" i="2"/>
  <c r="AJ556" i="2"/>
  <c r="J20" i="1"/>
  <c r="AJ27" i="2"/>
  <c r="AK27" i="2" s="1"/>
  <c r="AL27" i="2" s="1"/>
  <c r="AM27" i="2" s="1"/>
  <c r="AO27" i="2" s="1"/>
  <c r="AL159" i="2"/>
  <c r="AM159" i="2" s="1"/>
  <c r="AN159" i="2" s="1"/>
  <c r="AK583" i="2"/>
  <c r="AL583" i="2" s="1"/>
  <c r="AM583" i="2" s="1"/>
  <c r="AO583" i="2" s="1"/>
  <c r="AJ333" i="2"/>
  <c r="AJ121" i="2"/>
  <c r="AK442" i="2"/>
  <c r="AL442" i="2" s="1"/>
  <c r="AM442" i="2" s="1"/>
  <c r="AO442" i="2" s="1"/>
  <c r="J16" i="1"/>
  <c r="AK522" i="2"/>
  <c r="AL522" i="2" s="1"/>
  <c r="AM522" i="2" s="1"/>
  <c r="AO522" i="2" s="1"/>
  <c r="AL393" i="2"/>
  <c r="AM393" i="2" s="1"/>
  <c r="AJ305" i="2"/>
  <c r="AK305" i="2" s="1"/>
  <c r="AK551" i="2"/>
  <c r="AL551" i="2" s="1"/>
  <c r="AM551" i="2" s="1"/>
  <c r="AO551" i="2" s="1"/>
  <c r="AK410" i="2"/>
  <c r="AK808" i="2"/>
  <c r="AL808" i="2" s="1"/>
  <c r="AM808" i="2" s="1"/>
  <c r="AO808" i="2" s="1"/>
  <c r="AK162" i="2"/>
  <c r="J26" i="1"/>
  <c r="J21" i="1"/>
  <c r="AJ88" i="2"/>
  <c r="AK88" i="2" s="1"/>
  <c r="AJ981" i="2"/>
  <c r="AK981" i="2" s="1"/>
  <c r="AL981" i="2" s="1"/>
  <c r="AM981" i="2" s="1"/>
  <c r="AO981" i="2" s="1"/>
  <c r="AJ1073" i="2"/>
  <c r="AK451" i="2"/>
  <c r="AL451" i="2" s="1"/>
  <c r="AM451" i="2" s="1"/>
  <c r="AO451" i="2" s="1"/>
  <c r="AK241" i="2"/>
  <c r="AL241" i="2" s="1"/>
  <c r="AM241" i="2" s="1"/>
  <c r="AO241" i="2" s="1"/>
  <c r="AJ293" i="2"/>
  <c r="AJ61" i="2"/>
  <c r="AK1247" i="2"/>
  <c r="J13" i="1"/>
  <c r="AJ1308" i="2"/>
  <c r="AK1238" i="2"/>
  <c r="AL1238" i="2" s="1"/>
  <c r="AM1238" i="2" s="1"/>
  <c r="AO1238" i="2" s="1"/>
  <c r="AK225" i="2"/>
  <c r="AL225" i="2" s="1"/>
  <c r="AM225" i="2" s="1"/>
  <c r="AO225" i="2" s="1"/>
  <c r="AL160" i="2"/>
  <c r="AM160" i="2" s="1"/>
  <c r="AJ26" i="2"/>
  <c r="AJ923" i="2"/>
  <c r="AJ251" i="2"/>
  <c r="AK251" i="2" s="1"/>
  <c r="AL251" i="2" s="1"/>
  <c r="AM251" i="2" s="1"/>
  <c r="AO251" i="2" s="1"/>
  <c r="AJ82" i="2"/>
  <c r="AK82" i="2" s="1"/>
  <c r="AL82" i="2" s="1"/>
  <c r="AM82" i="2" s="1"/>
  <c r="AO82" i="2" s="1"/>
  <c r="AK25" i="2"/>
  <c r="AL25" i="2" s="1"/>
  <c r="AM25" i="2" s="1"/>
  <c r="AO25" i="2" s="1"/>
  <c r="AJ1288" i="2"/>
  <c r="AJ993" i="2"/>
  <c r="AK209" i="2"/>
  <c r="AL209" i="2" s="1"/>
  <c r="AM209" i="2" s="1"/>
  <c r="AJ79" i="2"/>
  <c r="AK910" i="2"/>
  <c r="AL910" i="2" s="1"/>
  <c r="AM910" i="2" s="1"/>
  <c r="AO910" i="2" s="1"/>
  <c r="AK193" i="2"/>
  <c r="AL193" i="2" s="1"/>
  <c r="AM193" i="2" s="1"/>
  <c r="AN193" i="2" s="1"/>
  <c r="AJ167" i="2"/>
  <c r="AK273" i="2"/>
  <c r="AL273" i="2" s="1"/>
  <c r="AM273" i="2" s="1"/>
  <c r="AO273" i="2" s="1"/>
  <c r="AJ120" i="2"/>
  <c r="AK120" i="2" s="1"/>
  <c r="AL120" i="2" s="1"/>
  <c r="AM120" i="2" s="1"/>
  <c r="AK116" i="2"/>
  <c r="AL116" i="2" s="1"/>
  <c r="AM116" i="2" s="1"/>
  <c r="AK288" i="2"/>
  <c r="AL288" i="2" s="1"/>
  <c r="AM288" i="2" s="1"/>
  <c r="AL64" i="2"/>
  <c r="AM64" i="2" s="1"/>
  <c r="AK9" i="2"/>
  <c r="AL9" i="2" s="1"/>
  <c r="AM9" i="2" s="1"/>
  <c r="AO9" i="2" s="1"/>
  <c r="AJ1295" i="2"/>
  <c r="AJ381" i="2"/>
  <c r="AK381" i="2" s="1"/>
  <c r="AL381" i="2" s="1"/>
  <c r="AM381" i="2" s="1"/>
  <c r="AO381" i="2" s="1"/>
  <c r="AK240" i="2"/>
  <c r="AL240" i="2" s="1"/>
  <c r="AM240" i="2" s="1"/>
  <c r="AO240" i="2" s="1"/>
  <c r="AJ198" i="2"/>
  <c r="AJ1275" i="2"/>
  <c r="AL228" i="2"/>
  <c r="AM228" i="2" s="1"/>
  <c r="AN228" i="2" s="1"/>
  <c r="AJ987" i="2"/>
  <c r="AK987" i="2" s="1"/>
  <c r="AL987" i="2" s="1"/>
  <c r="AM987" i="2" s="1"/>
  <c r="AO987" i="2" s="1"/>
  <c r="AJ967" i="2"/>
  <c r="AJ838" i="2"/>
  <c r="AJ712" i="2"/>
  <c r="AK712" i="2" s="1"/>
  <c r="AJ722" i="2"/>
  <c r="AK722" i="2" s="1"/>
  <c r="AL722" i="2" s="1"/>
  <c r="AM722" i="2" s="1"/>
  <c r="AO722" i="2" s="1"/>
  <c r="AJ649" i="2"/>
  <c r="AJ282" i="2"/>
  <c r="AK282" i="2" s="1"/>
  <c r="AL282" i="2" s="1"/>
  <c r="AM282" i="2" s="1"/>
  <c r="AO282" i="2" s="1"/>
  <c r="AO193" i="2"/>
  <c r="AJ1023" i="2"/>
  <c r="AK948" i="2"/>
  <c r="AL948" i="2" s="1"/>
  <c r="AM948" i="2" s="1"/>
  <c r="AO948" i="2" s="1"/>
  <c r="AJ913" i="2"/>
  <c r="AK913" i="2" s="1"/>
  <c r="AL913" i="2" s="1"/>
  <c r="AM913" i="2" s="1"/>
  <c r="AJ914" i="2"/>
  <c r="AK914" i="2" s="1"/>
  <c r="AL914" i="2" s="1"/>
  <c r="AM914" i="2" s="1"/>
  <c r="AO914" i="2" s="1"/>
  <c r="AK693" i="2"/>
  <c r="AL693" i="2" s="1"/>
  <c r="AM693" i="2" s="1"/>
  <c r="AO693" i="2" s="1"/>
  <c r="AJ614" i="2"/>
  <c r="AJ528" i="2"/>
  <c r="AK528" i="2" s="1"/>
  <c r="AL528" i="2" s="1"/>
  <c r="AM528" i="2" s="1"/>
  <c r="AO528" i="2" s="1"/>
  <c r="AJ156" i="2"/>
  <c r="AK156" i="2" s="1"/>
  <c r="AK148" i="2"/>
  <c r="AL148" i="2" s="1"/>
  <c r="AM148" i="2" s="1"/>
  <c r="AO148" i="2" s="1"/>
  <c r="AJ105" i="2"/>
  <c r="AJ1109" i="2"/>
  <c r="AK1109" i="2" s="1"/>
  <c r="AJ1277" i="2"/>
  <c r="AK1277" i="2" s="1"/>
  <c r="AK1222" i="2"/>
  <c r="AL1222" i="2" s="1"/>
  <c r="AM1222" i="2" s="1"/>
  <c r="AO1222" i="2" s="1"/>
  <c r="AJ1200" i="2"/>
  <c r="AJ1236" i="2"/>
  <c r="AJ947" i="2"/>
  <c r="AJ916" i="2"/>
  <c r="AJ889" i="2"/>
  <c r="AJ633" i="2"/>
  <c r="AK633" i="2" s="1"/>
  <c r="AL633" i="2" s="1"/>
  <c r="AM633" i="2" s="1"/>
  <c r="AO633" i="2" s="1"/>
  <c r="AJ307" i="2"/>
  <c r="AK307" i="2" s="1"/>
  <c r="AL333" i="2"/>
  <c r="AM333" i="2" s="1"/>
  <c r="AL368" i="2"/>
  <c r="AM368" i="2" s="1"/>
  <c r="AJ280" i="2"/>
  <c r="AK280" i="2" s="1"/>
  <c r="AL280" i="2" s="1"/>
  <c r="AM280" i="2" s="1"/>
  <c r="AN280" i="2" s="1"/>
  <c r="AO280" i="2" s="1"/>
  <c r="AJ1321" i="2"/>
  <c r="AK1321" i="2" s="1"/>
  <c r="AL1321" i="2" s="1"/>
  <c r="AM1321" i="2" s="1"/>
  <c r="AO1321" i="2" s="1"/>
  <c r="AJ729" i="2"/>
  <c r="AJ615" i="2"/>
  <c r="AJ462" i="2"/>
  <c r="AJ1022" i="2"/>
  <c r="AK1022" i="2" s="1"/>
  <c r="AL1022" i="2" s="1"/>
  <c r="AM1022" i="2" s="1"/>
  <c r="AO1022" i="2" s="1"/>
  <c r="AJ1298" i="2"/>
  <c r="AK1298" i="2" s="1"/>
  <c r="AL1298" i="2" s="1"/>
  <c r="AM1298" i="2" s="1"/>
  <c r="AO1298" i="2" s="1"/>
  <c r="AL867" i="2"/>
  <c r="AM867" i="2" s="1"/>
  <c r="AJ770" i="2"/>
  <c r="AJ460" i="2"/>
  <c r="AK460" i="2" s="1"/>
  <c r="AL460" i="2" s="1"/>
  <c r="AM460" i="2" s="1"/>
  <c r="AO460" i="2" s="1"/>
  <c r="AJ530" i="2"/>
  <c r="AJ1318" i="2"/>
  <c r="AJ1307" i="2"/>
  <c r="AK1307" i="2" s="1"/>
  <c r="AL1307" i="2" s="1"/>
  <c r="AM1307" i="2" s="1"/>
  <c r="AO1307" i="2" s="1"/>
  <c r="AJ1059" i="2"/>
  <c r="AK1059" i="2" s="1"/>
  <c r="AL1059" i="2" s="1"/>
  <c r="AM1059" i="2" s="1"/>
  <c r="AO1059" i="2" s="1"/>
  <c r="AJ1324" i="2"/>
  <c r="AK1324" i="2" s="1"/>
  <c r="AL1324" i="2" s="1"/>
  <c r="AM1324" i="2" s="1"/>
  <c r="AO1324" i="2" s="1"/>
  <c r="AJ1248" i="2"/>
  <c r="AJ1234" i="2"/>
  <c r="AK1234" i="2" s="1"/>
  <c r="AL1234" i="2" s="1"/>
  <c r="AM1234" i="2" s="1"/>
  <c r="AO1234" i="2" s="1"/>
  <c r="AJ1189" i="2"/>
  <c r="AK1189" i="2" s="1"/>
  <c r="AL1189" i="2" s="1"/>
  <c r="AM1189" i="2" s="1"/>
  <c r="AO1189" i="2" s="1"/>
  <c r="AJ1052" i="2"/>
  <c r="AK1052" i="2" s="1"/>
  <c r="AJ994" i="2"/>
  <c r="AJ662" i="2"/>
  <c r="AJ753" i="2"/>
  <c r="AK753" i="2" s="1"/>
  <c r="AL753" i="2" s="1"/>
  <c r="AM753" i="2" s="1"/>
  <c r="AO753" i="2" s="1"/>
  <c r="AJ248" i="2"/>
  <c r="AK248" i="2" s="1"/>
  <c r="AL248" i="2" s="1"/>
  <c r="AM248" i="2" s="1"/>
  <c r="AO248" i="2" s="1"/>
  <c r="AJ122" i="2"/>
  <c r="AK122" i="2" s="1"/>
  <c r="AL122" i="2" s="1"/>
  <c r="AM122" i="2" s="1"/>
  <c r="AO122" i="2" s="1"/>
  <c r="AL73" i="2"/>
  <c r="AM73" i="2" s="1"/>
  <c r="AN73" i="2" s="1"/>
  <c r="AJ642" i="2"/>
  <c r="AJ508" i="2"/>
  <c r="AJ354" i="2"/>
  <c r="AK493" i="2"/>
  <c r="AL493" i="2" s="1"/>
  <c r="AM493" i="2" s="1"/>
  <c r="AO493" i="2" s="1"/>
  <c r="AK1208" i="2"/>
  <c r="AJ494" i="2"/>
  <c r="AK792" i="2"/>
  <c r="AL792" i="2" s="1"/>
  <c r="AM792" i="2" s="1"/>
  <c r="AO792" i="2" s="1"/>
  <c r="AJ834" i="2"/>
  <c r="AK834" i="2" s="1"/>
  <c r="AL834" i="2" s="1"/>
  <c r="AM834" i="2" s="1"/>
  <c r="AO834" i="2" s="1"/>
  <c r="AJ56" i="2"/>
  <c r="AJ214" i="2"/>
  <c r="AJ1173" i="2"/>
  <c r="AJ1061" i="2"/>
  <c r="AK1061" i="2" s="1"/>
  <c r="AL1061" i="2" s="1"/>
  <c r="AM1061" i="2" s="1"/>
  <c r="AO1061" i="2" s="1"/>
  <c r="AK1313" i="2"/>
  <c r="AL1313" i="2" s="1"/>
  <c r="AM1313" i="2" s="1"/>
  <c r="AO1313" i="2" s="1"/>
  <c r="AJ871" i="2"/>
  <c r="AK871" i="2" s="1"/>
  <c r="AJ652" i="2"/>
  <c r="AK256" i="2"/>
  <c r="AL256" i="2" s="1"/>
  <c r="AM256" i="2" s="1"/>
  <c r="AO256" i="2" s="1"/>
  <c r="AJ1336" i="2"/>
  <c r="AJ1261" i="2"/>
  <c r="AJ1245" i="2"/>
  <c r="AK1107" i="2"/>
  <c r="AL1107" i="2" s="1"/>
  <c r="AM1107" i="2" s="1"/>
  <c r="AN1107" i="2" s="1"/>
  <c r="AO1107" i="2" s="1"/>
  <c r="AJ1047" i="2"/>
  <c r="AK1047" i="2" s="1"/>
  <c r="AL1047" i="2" s="1"/>
  <c r="AM1047" i="2" s="1"/>
  <c r="AO1047" i="2" s="1"/>
  <c r="AK931" i="2"/>
  <c r="AJ898" i="2"/>
  <c r="AK898" i="2" s="1"/>
  <c r="AL898" i="2" s="1"/>
  <c r="AM898" i="2" s="1"/>
  <c r="AO898" i="2" s="1"/>
  <c r="AJ562" i="2"/>
  <c r="AK562" i="2" s="1"/>
  <c r="AL562" i="2" s="1"/>
  <c r="AM562" i="2" s="1"/>
  <c r="AO562" i="2" s="1"/>
  <c r="AJ544" i="2"/>
  <c r="AJ411" i="2"/>
  <c r="AJ356" i="2"/>
  <c r="AJ76" i="2"/>
  <c r="AK76" i="2" s="1"/>
  <c r="AL76" i="2" s="1"/>
  <c r="AM76" i="2" s="1"/>
  <c r="AO76" i="2" s="1"/>
  <c r="AJ1293" i="2"/>
  <c r="AK1293" i="2" s="1"/>
  <c r="AL1293" i="2" s="1"/>
  <c r="AM1293" i="2" s="1"/>
  <c r="AO1293" i="2" s="1"/>
  <c r="AJ1154" i="2"/>
  <c r="AK1154" i="2" s="1"/>
  <c r="AL1154" i="2" s="1"/>
  <c r="AM1154" i="2" s="1"/>
  <c r="AO1154" i="2" s="1"/>
  <c r="AJ739" i="2"/>
  <c r="AK634" i="2"/>
  <c r="AL634" i="2" s="1"/>
  <c r="AM634" i="2" s="1"/>
  <c r="AO634" i="2" s="1"/>
  <c r="AJ589" i="2"/>
  <c r="AJ434" i="2"/>
  <c r="AK364" i="2"/>
  <c r="AJ1174" i="2"/>
  <c r="AK1174" i="2" s="1"/>
  <c r="AL1174" i="2" s="1"/>
  <c r="AM1174" i="2" s="1"/>
  <c r="AO1174" i="2" s="1"/>
  <c r="AK1140" i="2"/>
  <c r="AL1140" i="2" s="1"/>
  <c r="AM1140" i="2" s="1"/>
  <c r="AN1140" i="2" s="1"/>
  <c r="AJ1302" i="2"/>
  <c r="AJ1127" i="2"/>
  <c r="AK1127" i="2" s="1"/>
  <c r="AL1127" i="2" s="1"/>
  <c r="AM1127" i="2" s="1"/>
  <c r="AO1127" i="2" s="1"/>
  <c r="AL1101" i="2"/>
  <c r="AM1101" i="2" s="1"/>
  <c r="AJ1019" i="2"/>
  <c r="AJ855" i="2"/>
  <c r="AJ711" i="2"/>
  <c r="AJ720" i="2"/>
  <c r="AK720" i="2" s="1"/>
  <c r="AL720" i="2" s="1"/>
  <c r="AM720" i="2" s="1"/>
  <c r="AO720" i="2" s="1"/>
  <c r="AK694" i="2"/>
  <c r="AL694" i="2" s="1"/>
  <c r="AM694" i="2" s="1"/>
  <c r="AO694" i="2" s="1"/>
  <c r="AK769" i="2"/>
  <c r="AL769" i="2" s="1"/>
  <c r="AM769" i="2" s="1"/>
  <c r="AO769" i="2" s="1"/>
  <c r="AL680" i="2"/>
  <c r="AM680" i="2" s="1"/>
  <c r="AJ717" i="2"/>
  <c r="AK717" i="2" s="1"/>
  <c r="AL717" i="2" s="1"/>
  <c r="AM717" i="2" s="1"/>
  <c r="AO717" i="2" s="1"/>
  <c r="AJ500" i="2"/>
  <c r="AK500" i="2" s="1"/>
  <c r="AL500" i="2" s="1"/>
  <c r="AM500" i="2" s="1"/>
  <c r="AO500" i="2" s="1"/>
  <c r="AJ404" i="2"/>
  <c r="AK1275" i="2"/>
  <c r="AL1275" i="2" s="1"/>
  <c r="AM1275" i="2" s="1"/>
  <c r="AO1275" i="2" s="1"/>
  <c r="AJ1038" i="2"/>
  <c r="AK1038" i="2" s="1"/>
  <c r="AJ1330" i="2"/>
  <c r="AK1330" i="2" s="1"/>
  <c r="AL1330" i="2" s="1"/>
  <c r="AM1330" i="2" s="1"/>
  <c r="AO1330" i="2" s="1"/>
  <c r="AJ1165" i="2"/>
  <c r="AK1165" i="2" s="1"/>
  <c r="AJ1169" i="2"/>
  <c r="AK1169" i="2" s="1"/>
  <c r="AJ1125" i="2"/>
  <c r="AJ1081" i="2"/>
  <c r="AJ1119" i="2"/>
  <c r="AJ885" i="2"/>
  <c r="AK582" i="2"/>
  <c r="AL582" i="2" s="1"/>
  <c r="AM582" i="2" s="1"/>
  <c r="AO582" i="2" s="1"/>
  <c r="AJ503" i="2"/>
  <c r="AK503" i="2" s="1"/>
  <c r="AL503" i="2" s="1"/>
  <c r="AM503" i="2" s="1"/>
  <c r="AO503" i="2" s="1"/>
  <c r="AJ405" i="2"/>
  <c r="AK224" i="2"/>
  <c r="AL224" i="2" s="1"/>
  <c r="AM224" i="2" s="1"/>
  <c r="AN224" i="2" s="1"/>
  <c r="AO224" i="2" s="1"/>
  <c r="AJ320" i="2"/>
  <c r="AK320" i="2" s="1"/>
  <c r="AJ113" i="2"/>
  <c r="AJ106" i="2"/>
  <c r="AK106" i="2" s="1"/>
  <c r="AL106" i="2" s="1"/>
  <c r="AM106" i="2" s="1"/>
  <c r="AN106" i="2" s="1"/>
  <c r="AO106" i="2" s="1"/>
  <c r="AJ170" i="2"/>
  <c r="AK170" i="2" s="1"/>
  <c r="AK121" i="2"/>
  <c r="AL121" i="2" s="1"/>
  <c r="AM121" i="2" s="1"/>
  <c r="AN121" i="2" s="1"/>
  <c r="AJ1156" i="2"/>
  <c r="AK1156" i="2" s="1"/>
  <c r="AL1156" i="2" s="1"/>
  <c r="AM1156" i="2" s="1"/>
  <c r="AK573" i="2"/>
  <c r="AL573" i="2" s="1"/>
  <c r="AM573" i="2" s="1"/>
  <c r="AO573" i="2" s="1"/>
  <c r="AL651" i="2"/>
  <c r="AM651" i="2" s="1"/>
  <c r="AJ365" i="2"/>
  <c r="AK419" i="2"/>
  <c r="AL419" i="2" s="1"/>
  <c r="AM419" i="2" s="1"/>
  <c r="AO419" i="2" s="1"/>
  <c r="AJ274" i="2"/>
  <c r="AL409" i="2"/>
  <c r="AM409" i="2" s="1"/>
  <c r="AJ175" i="2"/>
  <c r="AK175" i="2" s="1"/>
  <c r="AK164" i="2"/>
  <c r="AK1131" i="2"/>
  <c r="AL1131" i="2" s="1"/>
  <c r="AM1131" i="2" s="1"/>
  <c r="AJ821" i="2"/>
  <c r="AK821" i="2" s="1"/>
  <c r="AL821" i="2" s="1"/>
  <c r="AM821" i="2" s="1"/>
  <c r="AO821" i="2" s="1"/>
  <c r="AJ749" i="2"/>
  <c r="AJ550" i="2"/>
  <c r="AK550" i="2" s="1"/>
  <c r="AL550" i="2" s="1"/>
  <c r="AM550" i="2" s="1"/>
  <c r="AO550" i="2" s="1"/>
  <c r="AJ196" i="2"/>
  <c r="AK196" i="2" s="1"/>
  <c r="AL196" i="2" s="1"/>
  <c r="AM196" i="2" s="1"/>
  <c r="AK298" i="2"/>
  <c r="AL298" i="2" s="1"/>
  <c r="AM298" i="2" s="1"/>
  <c r="AJ232" i="2"/>
  <c r="AK232" i="2" s="1"/>
  <c r="AK75" i="2"/>
  <c r="AL75" i="2" s="1"/>
  <c r="AM75" i="2" s="1"/>
  <c r="AO75" i="2" s="1"/>
  <c r="AK1274" i="2"/>
  <c r="AL1274" i="2" s="1"/>
  <c r="AM1274" i="2" s="1"/>
  <c r="AO1274" i="2" s="1"/>
  <c r="AK775" i="2"/>
  <c r="AL775" i="2" s="1"/>
  <c r="AM775" i="2" s="1"/>
  <c r="AJ958" i="2"/>
  <c r="AJ848" i="2"/>
  <c r="AJ826" i="2"/>
  <c r="AJ502" i="2"/>
  <c r="AK502" i="2" s="1"/>
  <c r="AL502" i="2" s="1"/>
  <c r="AM502" i="2" s="1"/>
  <c r="AO502" i="2" s="1"/>
  <c r="AJ223" i="2"/>
  <c r="AK223" i="2" s="1"/>
  <c r="AL223" i="2" s="1"/>
  <c r="AM223" i="2" s="1"/>
  <c r="AL359" i="2"/>
  <c r="AM359" i="2" s="1"/>
  <c r="AK413" i="2"/>
  <c r="AL413" i="2" s="1"/>
  <c r="AM413" i="2" s="1"/>
  <c r="AO413" i="2" s="1"/>
  <c r="AJ97" i="2"/>
  <c r="AK163" i="2"/>
  <c r="AK16" i="2"/>
  <c r="AK649" i="2"/>
  <c r="AJ1316" i="2"/>
  <c r="AJ1301" i="2"/>
  <c r="AK1301" i="2" s="1"/>
  <c r="AL1301" i="2" s="1"/>
  <c r="AM1301" i="2" s="1"/>
  <c r="AO1301" i="2" s="1"/>
  <c r="AJ1250" i="2"/>
  <c r="AK1250" i="2" s="1"/>
  <c r="AL1250" i="2" s="1"/>
  <c r="AM1250" i="2" s="1"/>
  <c r="AO1250" i="2" s="1"/>
  <c r="AK1148" i="2"/>
  <c r="AL1148" i="2" s="1"/>
  <c r="AM1148" i="2" s="1"/>
  <c r="AO1148" i="2" s="1"/>
  <c r="AL1096" i="2"/>
  <c r="AM1096" i="2" s="1"/>
  <c r="AN1096" i="2" s="1"/>
  <c r="AJ1112" i="2"/>
  <c r="AK1112" i="2" s="1"/>
  <c r="AL1112" i="2" s="1"/>
  <c r="AM1112" i="2" s="1"/>
  <c r="AN1112" i="2" s="1"/>
  <c r="AJ942" i="2"/>
  <c r="AJ851" i="2"/>
  <c r="AJ732" i="2"/>
  <c r="AJ476" i="2"/>
  <c r="AK476" i="2" s="1"/>
  <c r="AL476" i="2" s="1"/>
  <c r="AM476" i="2" s="1"/>
  <c r="AO476" i="2" s="1"/>
  <c r="AJ478" i="2"/>
  <c r="AK478" i="2" s="1"/>
  <c r="AL478" i="2" s="1"/>
  <c r="AM478" i="2" s="1"/>
  <c r="AO478" i="2" s="1"/>
  <c r="AJ546" i="2"/>
  <c r="AK546" i="2" s="1"/>
  <c r="AL546" i="2" s="1"/>
  <c r="AM546" i="2" s="1"/>
  <c r="AO546" i="2" s="1"/>
  <c r="AK378" i="2"/>
  <c r="AK314" i="2"/>
  <c r="AJ262" i="2"/>
  <c r="AK262" i="2" s="1"/>
  <c r="AL262" i="2" s="1"/>
  <c r="AM262" i="2" s="1"/>
  <c r="AO262" i="2" s="1"/>
  <c r="AJ255" i="2"/>
  <c r="AK255" i="2" s="1"/>
  <c r="AL255" i="2" s="1"/>
  <c r="AM255" i="2" s="1"/>
  <c r="AO255" i="2" s="1"/>
  <c r="AJ345" i="2"/>
  <c r="AL373" i="2"/>
  <c r="AM373" i="2" s="1"/>
  <c r="AJ261" i="2"/>
  <c r="AK261" i="2" s="1"/>
  <c r="AL261" i="2" s="1"/>
  <c r="AM261" i="2" s="1"/>
  <c r="AO261" i="2" s="1"/>
  <c r="AJ92" i="2"/>
  <c r="AK92" i="2" s="1"/>
  <c r="AL92" i="2" s="1"/>
  <c r="AM92" i="2" s="1"/>
  <c r="AO92" i="2" s="1"/>
  <c r="AJ31" i="2"/>
  <c r="AK330" i="2"/>
  <c r="AJ1305" i="2"/>
  <c r="AJ1177" i="2"/>
  <c r="AJ1292" i="2"/>
  <c r="AK1292" i="2" s="1"/>
  <c r="AL1292" i="2" s="1"/>
  <c r="AM1292" i="2" s="1"/>
  <c r="AO1292" i="2" s="1"/>
  <c r="AJ1339" i="2"/>
  <c r="AK1339" i="2" s="1"/>
  <c r="AL1339" i="2" s="1"/>
  <c r="AM1339" i="2" s="1"/>
  <c r="AO1339" i="2" s="1"/>
  <c r="O26" i="1" s="1"/>
  <c r="AJ823" i="2"/>
  <c r="AK823" i="2" s="1"/>
  <c r="AL823" i="2" s="1"/>
  <c r="AM823" i="2" s="1"/>
  <c r="AO823" i="2" s="1"/>
  <c r="AJ685" i="2"/>
  <c r="AK685" i="2" s="1"/>
  <c r="AL685" i="2" s="1"/>
  <c r="AM685" i="2" s="1"/>
  <c r="AO685" i="2" s="1"/>
  <c r="AJ763" i="2"/>
  <c r="AJ216" i="2"/>
  <c r="AJ191" i="2"/>
  <c r="AL1090" i="2"/>
  <c r="AM1090" i="2" s="1"/>
  <c r="AN1090" i="2" s="1"/>
  <c r="AJ678" i="2"/>
  <c r="AK725" i="2"/>
  <c r="AL725" i="2" s="1"/>
  <c r="AM725" i="2" s="1"/>
  <c r="AO725" i="2" s="1"/>
  <c r="AJ598" i="2"/>
  <c r="AK598" i="2" s="1"/>
  <c r="AL598" i="2" s="1"/>
  <c r="AM598" i="2" s="1"/>
  <c r="AO598" i="2" s="1"/>
  <c r="AK483" i="2"/>
  <c r="AL483" i="2" s="1"/>
  <c r="AM483" i="2" s="1"/>
  <c r="AO483" i="2" s="1"/>
  <c r="AJ336" i="2"/>
  <c r="AJ414" i="2"/>
  <c r="AJ322" i="2"/>
  <c r="AK208" i="2"/>
  <c r="AL208" i="2" s="1"/>
  <c r="AM208" i="2" s="1"/>
  <c r="AJ34" i="2"/>
  <c r="AK34" i="2" s="1"/>
  <c r="AL34" i="2" s="1"/>
  <c r="AM34" i="2" s="1"/>
  <c r="AO34" i="2" s="1"/>
  <c r="AK1224" i="2"/>
  <c r="AL1224" i="2" s="1"/>
  <c r="AM1224" i="2" s="1"/>
  <c r="AO1224" i="2" s="1"/>
  <c r="AJ1068" i="2"/>
  <c r="AK1068" i="2" s="1"/>
  <c r="AL1068" i="2" s="1"/>
  <c r="AM1068" i="2" s="1"/>
  <c r="AO1068" i="2" s="1"/>
  <c r="AK947" i="2"/>
  <c r="AJ905" i="2"/>
  <c r="AJ920" i="2"/>
  <c r="AJ932" i="2"/>
  <c r="AJ684" i="2"/>
  <c r="AK684" i="2" s="1"/>
  <c r="AL684" i="2" s="1"/>
  <c r="AM684" i="2" s="1"/>
  <c r="AO684" i="2" s="1"/>
  <c r="AJ665" i="2"/>
  <c r="AK665" i="2" s="1"/>
  <c r="AK556" i="2"/>
  <c r="AL556" i="2" s="1"/>
  <c r="AM556" i="2" s="1"/>
  <c r="AO556" i="2" s="1"/>
  <c r="AK509" i="2"/>
  <c r="AL509" i="2" s="1"/>
  <c r="AM509" i="2" s="1"/>
  <c r="AO509" i="2" s="1"/>
  <c r="AJ343" i="2"/>
  <c r="AK343" i="2" s="1"/>
  <c r="AJ334" i="2"/>
  <c r="AK334" i="2" s="1"/>
  <c r="AJ361" i="2"/>
  <c r="AL236" i="2"/>
  <c r="AM236" i="2" s="1"/>
  <c r="AJ1030" i="2"/>
  <c r="AJ1272" i="2"/>
  <c r="AK1272" i="2" s="1"/>
  <c r="AL1272" i="2" s="1"/>
  <c r="AM1272" i="2" s="1"/>
  <c r="AO1272" i="2" s="1"/>
  <c r="AK1322" i="2"/>
  <c r="AL1322" i="2" s="1"/>
  <c r="AM1322" i="2" s="1"/>
  <c r="AO1322" i="2" s="1"/>
  <c r="AK1338" i="2"/>
  <c r="AL1338" i="2" s="1"/>
  <c r="AM1338" i="2" s="1"/>
  <c r="AO1338" i="2" s="1"/>
  <c r="AJ1241" i="2"/>
  <c r="AK1241" i="2" s="1"/>
  <c r="AL1241" i="2" s="1"/>
  <c r="AM1241" i="2" s="1"/>
  <c r="AO1241" i="2" s="1"/>
  <c r="AK1290" i="2"/>
  <c r="AL1290" i="2" s="1"/>
  <c r="AM1290" i="2" s="1"/>
  <c r="AO1290" i="2" s="1"/>
  <c r="AJ1204" i="2"/>
  <c r="AJ1025" i="2"/>
  <c r="AK1025" i="2" s="1"/>
  <c r="AL1025" i="2" s="1"/>
  <c r="AM1025" i="2" s="1"/>
  <c r="AO1025" i="2" s="1"/>
  <c r="AK964" i="2"/>
  <c r="AL964" i="2" s="1"/>
  <c r="AM964" i="2" s="1"/>
  <c r="AO964" i="2" s="1"/>
  <c r="AJ954" i="2"/>
  <c r="AJ997" i="2"/>
  <c r="AK997" i="2" s="1"/>
  <c r="AL997" i="2" s="1"/>
  <c r="AM997" i="2" s="1"/>
  <c r="AO997" i="2" s="1"/>
  <c r="AJ985" i="2"/>
  <c r="AK985" i="2" s="1"/>
  <c r="AL985" i="2" s="1"/>
  <c r="AM985" i="2" s="1"/>
  <c r="AO985" i="2" s="1"/>
  <c r="AJ969" i="2"/>
  <c r="AK969" i="2" s="1"/>
  <c r="AL969" i="2" s="1"/>
  <c r="AM969" i="2" s="1"/>
  <c r="AO969" i="2" s="1"/>
  <c r="AJ986" i="2"/>
  <c r="AJ976" i="2"/>
  <c r="AJ925" i="2"/>
  <c r="AJ761" i="2"/>
  <c r="AK761" i="2" s="1"/>
  <c r="AL761" i="2" s="1"/>
  <c r="AM761" i="2" s="1"/>
  <c r="AO761" i="2" s="1"/>
  <c r="AJ576" i="2"/>
  <c r="AK576" i="2" s="1"/>
  <c r="AL576" i="2" s="1"/>
  <c r="AM576" i="2" s="1"/>
  <c r="AO576" i="2" s="1"/>
  <c r="AJ629" i="2"/>
  <c r="AK629" i="2" s="1"/>
  <c r="AL629" i="2" s="1"/>
  <c r="AM629" i="2" s="1"/>
  <c r="AO629" i="2" s="1"/>
  <c r="AJ297" i="2"/>
  <c r="AK297" i="2" s="1"/>
  <c r="AL297" i="2" s="1"/>
  <c r="AM297" i="2" s="1"/>
  <c r="AO297" i="2" s="1"/>
  <c r="AJ285" i="2"/>
  <c r="AJ169" i="2"/>
  <c r="AJ42" i="2"/>
  <c r="AJ60" i="2"/>
  <c r="AJ801" i="2"/>
  <c r="AJ785" i="2"/>
  <c r="AK785" i="2" s="1"/>
  <c r="AL785" i="2" s="1"/>
  <c r="AM785" i="2" s="1"/>
  <c r="AO785" i="2" s="1"/>
  <c r="AL665" i="2"/>
  <c r="AM665" i="2" s="1"/>
  <c r="AJ537" i="2"/>
  <c r="AK537" i="2" s="1"/>
  <c r="AL537" i="2" s="1"/>
  <c r="AM537" i="2" s="1"/>
  <c r="AO537" i="2" s="1"/>
  <c r="AK1288" i="2"/>
  <c r="AJ1197" i="2"/>
  <c r="AK1197" i="2" s="1"/>
  <c r="AL1197" i="2" s="1"/>
  <c r="AM1197" i="2" s="1"/>
  <c r="AJ1198" i="2"/>
  <c r="AK1198" i="2" s="1"/>
  <c r="AL1198" i="2" s="1"/>
  <c r="AM1198" i="2" s="1"/>
  <c r="AO1198" i="2" s="1"/>
  <c r="AJ1087" i="2"/>
  <c r="AJ893" i="2"/>
  <c r="AK893" i="2" s="1"/>
  <c r="AL893" i="2" s="1"/>
  <c r="AM893" i="2" s="1"/>
  <c r="AO893" i="2" s="1"/>
  <c r="AJ668" i="2"/>
  <c r="AK668" i="2" s="1"/>
  <c r="AJ673" i="2"/>
  <c r="AK673" i="2" s="1"/>
  <c r="AL673" i="2" s="1"/>
  <c r="AM673" i="2" s="1"/>
  <c r="AO673" i="2" s="1"/>
  <c r="AJ578" i="2"/>
  <c r="AK578" i="2" s="1"/>
  <c r="AL578" i="2" s="1"/>
  <c r="AM578" i="2" s="1"/>
  <c r="AO578" i="2" s="1"/>
  <c r="AJ605" i="2"/>
  <c r="AK605" i="2" s="1"/>
  <c r="AL605" i="2" s="1"/>
  <c r="AM605" i="2" s="1"/>
  <c r="AO605" i="2" s="1"/>
  <c r="AJ523" i="2"/>
  <c r="AJ239" i="2"/>
  <c r="AK239" i="2" s="1"/>
  <c r="AJ18" i="2"/>
  <c r="AK18" i="2" s="1"/>
  <c r="AL18" i="2" s="1"/>
  <c r="AM18" i="2" s="1"/>
  <c r="AO18" i="2" s="1"/>
  <c r="AJ37" i="2"/>
  <c r="AJ1323" i="2"/>
  <c r="AK1323" i="2" s="1"/>
  <c r="AL1323" i="2" s="1"/>
  <c r="AM1323" i="2" s="1"/>
  <c r="AO1323" i="2" s="1"/>
  <c r="AJ1153" i="2"/>
  <c r="AK1153" i="2" s="1"/>
  <c r="AL1153" i="2" s="1"/>
  <c r="AM1153" i="2" s="1"/>
  <c r="AO1153" i="2" s="1"/>
  <c r="AJ1041" i="2"/>
  <c r="AJ1005" i="2"/>
  <c r="AJ1034" i="2"/>
  <c r="AJ433" i="2"/>
  <c r="AJ444" i="2"/>
  <c r="AK444" i="2" s="1"/>
  <c r="AL444" i="2" s="1"/>
  <c r="AM444" i="2" s="1"/>
  <c r="AO444" i="2" s="1"/>
  <c r="AJ350" i="2"/>
  <c r="AK350" i="2" s="1"/>
  <c r="AK155" i="2"/>
  <c r="AK68" i="2"/>
  <c r="AK1261" i="2"/>
  <c r="AL1261" i="2" s="1"/>
  <c r="AM1261" i="2" s="1"/>
  <c r="AO1261" i="2" s="1"/>
  <c r="AK1230" i="2"/>
  <c r="AL1230" i="2" s="1"/>
  <c r="AM1230" i="2" s="1"/>
  <c r="AJ1220" i="2"/>
  <c r="AK1220" i="2" s="1"/>
  <c r="AL1220" i="2" s="1"/>
  <c r="AM1220" i="2" s="1"/>
  <c r="AO1220" i="2" s="1"/>
  <c r="AJ1055" i="2"/>
  <c r="AJ575" i="2"/>
  <c r="AK575" i="2" s="1"/>
  <c r="AL575" i="2" s="1"/>
  <c r="AM575" i="2" s="1"/>
  <c r="AO575" i="2" s="1"/>
  <c r="AJ510" i="2"/>
  <c r="AK510" i="2" s="1"/>
  <c r="AL510" i="2" s="1"/>
  <c r="AM510" i="2" s="1"/>
  <c r="AO510" i="2" s="1"/>
  <c r="AJ313" i="2"/>
  <c r="AK313" i="2" s="1"/>
  <c r="AK544" i="2"/>
  <c r="AJ1287" i="2"/>
  <c r="AK1287" i="2" s="1"/>
  <c r="AL1287" i="2" s="1"/>
  <c r="AM1287" i="2" s="1"/>
  <c r="AO1287" i="2" s="1"/>
  <c r="AJ1341" i="2"/>
  <c r="AJ1268" i="2"/>
  <c r="AK1268" i="2" s="1"/>
  <c r="AL1268" i="2" s="1"/>
  <c r="AM1268" i="2" s="1"/>
  <c r="AO1268" i="2" s="1"/>
  <c r="AJ1266" i="2"/>
  <c r="AK1266" i="2" s="1"/>
  <c r="AL1266" i="2" s="1"/>
  <c r="AM1266" i="2" s="1"/>
  <c r="AO1266" i="2" s="1"/>
  <c r="AJ1243" i="2"/>
  <c r="AK1243" i="2" s="1"/>
  <c r="AL1243" i="2" s="1"/>
  <c r="AM1243" i="2" s="1"/>
  <c r="AN1243" i="2" s="1"/>
  <c r="AJ1212" i="2"/>
  <c r="AK1212" i="2" s="1"/>
  <c r="AL1212" i="2" s="1"/>
  <c r="AM1212" i="2" s="1"/>
  <c r="AO1212" i="2" s="1"/>
  <c r="AJ1201" i="2"/>
  <c r="AJ1195" i="2"/>
  <c r="AK1195" i="2" s="1"/>
  <c r="AL1195" i="2" s="1"/>
  <c r="AM1195" i="2" s="1"/>
  <c r="AO1195" i="2" s="1"/>
  <c r="AJ1176" i="2"/>
  <c r="AK1176" i="2" s="1"/>
  <c r="AL1176" i="2" s="1"/>
  <c r="AM1176" i="2" s="1"/>
  <c r="AO1176" i="2" s="1"/>
  <c r="AL1098" i="2"/>
  <c r="AM1098" i="2" s="1"/>
  <c r="AN1098" i="2" s="1"/>
  <c r="AJ1048" i="2"/>
  <c r="AK1048" i="2" s="1"/>
  <c r="AJ989" i="2"/>
  <c r="AK989" i="2" s="1"/>
  <c r="AL989" i="2" s="1"/>
  <c r="AM989" i="2" s="1"/>
  <c r="AO989" i="2" s="1"/>
  <c r="AJ1009" i="2"/>
  <c r="AK1009" i="2" s="1"/>
  <c r="AL1009" i="2" s="1"/>
  <c r="AM1009" i="2" s="1"/>
  <c r="AO1009" i="2" s="1"/>
  <c r="AJ890" i="2"/>
  <c r="AK890" i="2" s="1"/>
  <c r="AL890" i="2" s="1"/>
  <c r="AM890" i="2" s="1"/>
  <c r="AO890" i="2" s="1"/>
  <c r="AJ791" i="2"/>
  <c r="AJ612" i="2"/>
  <c r="AK461" i="2"/>
  <c r="AL461" i="2" s="1"/>
  <c r="AM461" i="2" s="1"/>
  <c r="AO461" i="2" s="1"/>
  <c r="AJ380" i="2"/>
  <c r="AK380" i="2" s="1"/>
  <c r="AL380" i="2" s="1"/>
  <c r="AM380" i="2" s="1"/>
  <c r="AO380" i="2" s="1"/>
  <c r="AJ1040" i="2"/>
  <c r="AO735" i="2"/>
  <c r="AL735" i="2"/>
  <c r="AM735" i="2" s="1"/>
  <c r="AJ616" i="2"/>
  <c r="AK616" i="2" s="1"/>
  <c r="AL616" i="2" s="1"/>
  <c r="AM616" i="2" s="1"/>
  <c r="AO616" i="2" s="1"/>
  <c r="AJ1326" i="2"/>
  <c r="AK1326" i="2" s="1"/>
  <c r="AL1326" i="2" s="1"/>
  <c r="AM1326" i="2" s="1"/>
  <c r="AO1326" i="2" s="1"/>
  <c r="AL1276" i="2"/>
  <c r="AM1276" i="2" s="1"/>
  <c r="AJ1257" i="2"/>
  <c r="AK1257" i="2" s="1"/>
  <c r="AL1257" i="2" s="1"/>
  <c r="AM1257" i="2" s="1"/>
  <c r="AO1257" i="2" s="1"/>
  <c r="AJ1219" i="2"/>
  <c r="AK1219" i="2" s="1"/>
  <c r="AL1219" i="2" s="1"/>
  <c r="AM1219" i="2" s="1"/>
  <c r="AN1219" i="2" s="1"/>
  <c r="AJ1186" i="2"/>
  <c r="AK1186" i="2" s="1"/>
  <c r="AL1186" i="2" s="1"/>
  <c r="AM1186" i="2" s="1"/>
  <c r="AO1186" i="2" s="1"/>
  <c r="AJ1136" i="2"/>
  <c r="AK1136" i="2" s="1"/>
  <c r="AL1136" i="2" s="1"/>
  <c r="AM1136" i="2" s="1"/>
  <c r="AJ1096" i="2"/>
  <c r="AK1096" i="2" s="1"/>
  <c r="AJ1094" i="2"/>
  <c r="AK1094" i="2" s="1"/>
  <c r="AJ731" i="2"/>
  <c r="AK731" i="2" s="1"/>
  <c r="AL731" i="2" s="1"/>
  <c r="AM731" i="2" s="1"/>
  <c r="AO731" i="2" s="1"/>
  <c r="AJ332" i="2"/>
  <c r="AK332" i="2" s="1"/>
  <c r="AJ1271" i="2"/>
  <c r="AK1271" i="2" s="1"/>
  <c r="AL1271" i="2" s="1"/>
  <c r="AM1271" i="2" s="1"/>
  <c r="AO1271" i="2" s="1"/>
  <c r="AJ1296" i="2"/>
  <c r="AK1296" i="2" s="1"/>
  <c r="AL1296" i="2" s="1"/>
  <c r="AM1296" i="2" s="1"/>
  <c r="AO1296" i="2" s="1"/>
  <c r="AJ1291" i="2"/>
  <c r="AJ1309" i="2"/>
  <c r="AK1309" i="2" s="1"/>
  <c r="AL1309" i="2" s="1"/>
  <c r="AM1309" i="2" s="1"/>
  <c r="AO1309" i="2" s="1"/>
  <c r="AJ1225" i="2"/>
  <c r="AK1225" i="2" s="1"/>
  <c r="AL1225" i="2" s="1"/>
  <c r="AM1225" i="2" s="1"/>
  <c r="AN1225" i="2" s="1"/>
  <c r="AK1236" i="2"/>
  <c r="AL1236" i="2" s="1"/>
  <c r="AM1236" i="2" s="1"/>
  <c r="AJ1143" i="2"/>
  <c r="AK1143" i="2" s="1"/>
  <c r="AL1143" i="2" s="1"/>
  <c r="AM1143" i="2" s="1"/>
  <c r="AO1143" i="2" s="1"/>
  <c r="AJ940" i="2"/>
  <c r="AJ559" i="2"/>
  <c r="AK559" i="2" s="1"/>
  <c r="AL559" i="2" s="1"/>
  <c r="AM559" i="2" s="1"/>
  <c r="AO559" i="2" s="1"/>
  <c r="AJ443" i="2"/>
  <c r="AK443" i="2" s="1"/>
  <c r="AL443" i="2" s="1"/>
  <c r="AM443" i="2" s="1"/>
  <c r="AO443" i="2" s="1"/>
  <c r="AK105" i="2"/>
  <c r="AO4" i="2"/>
  <c r="AL4" i="2"/>
  <c r="AM4" i="2" s="1"/>
  <c r="AN4" i="2" s="1"/>
  <c r="AJ1337" i="2"/>
  <c r="AK1337" i="2" s="1"/>
  <c r="AL1337" i="2" s="1"/>
  <c r="AM1337" i="2" s="1"/>
  <c r="AO1337" i="2" s="1"/>
  <c r="AJ1282" i="2"/>
  <c r="AK1282" i="2" s="1"/>
  <c r="AL1282" i="2" s="1"/>
  <c r="AM1282" i="2" s="1"/>
  <c r="AO1282" i="2" s="1"/>
  <c r="AJ1300" i="2"/>
  <c r="AK1300" i="2" s="1"/>
  <c r="AL1300" i="2" s="1"/>
  <c r="AM1300" i="2" s="1"/>
  <c r="AO1300" i="2" s="1"/>
  <c r="AJ1325" i="2"/>
  <c r="AJ1249" i="2"/>
  <c r="AK1249" i="2" s="1"/>
  <c r="AL1249" i="2" s="1"/>
  <c r="AM1249" i="2" s="1"/>
  <c r="AJ1311" i="2"/>
  <c r="AJ1246" i="2"/>
  <c r="AK1246" i="2" s="1"/>
  <c r="AL1246" i="2" s="1"/>
  <c r="AM1246" i="2" s="1"/>
  <c r="AJ1259" i="2"/>
  <c r="AK1259" i="2" s="1"/>
  <c r="AL1259" i="2" s="1"/>
  <c r="AM1259" i="2" s="1"/>
  <c r="AO1259" i="2" s="1"/>
  <c r="AJ1199" i="2"/>
  <c r="AK1199" i="2" s="1"/>
  <c r="AL1199" i="2" s="1"/>
  <c r="AM1199" i="2" s="1"/>
  <c r="AO1199" i="2" s="1"/>
  <c r="AJ1181" i="2"/>
  <c r="AK1181" i="2" s="1"/>
  <c r="AL1181" i="2" s="1"/>
  <c r="AM1181" i="2" s="1"/>
  <c r="AO1181" i="2" s="1"/>
  <c r="AJ1167" i="2"/>
  <c r="AK1167" i="2" s="1"/>
  <c r="AL1167" i="2" s="1"/>
  <c r="AM1167" i="2" s="1"/>
  <c r="AO1167" i="2" s="1"/>
  <c r="AJ1115" i="2"/>
  <c r="AK1115" i="2" s="1"/>
  <c r="AL1115" i="2" s="1"/>
  <c r="AM1115" i="2" s="1"/>
  <c r="AN1115" i="2" s="1"/>
  <c r="AJ974" i="2"/>
  <c r="AK974" i="2" s="1"/>
  <c r="AL974" i="2" s="1"/>
  <c r="AM974" i="2" s="1"/>
  <c r="AO974" i="2" s="1"/>
  <c r="AJ900" i="2"/>
  <c r="AK900" i="2" s="1"/>
  <c r="AL900" i="2" s="1"/>
  <c r="AM900" i="2" s="1"/>
  <c r="AJ747" i="2"/>
  <c r="AK747" i="2" s="1"/>
  <c r="AL747" i="2" s="1"/>
  <c r="AM747" i="2" s="1"/>
  <c r="AO747" i="2" s="1"/>
  <c r="AO681" i="2"/>
  <c r="AL681" i="2"/>
  <c r="AM681" i="2" s="1"/>
  <c r="AJ437" i="2"/>
  <c r="AK437" i="2" s="1"/>
  <c r="AL437" i="2" s="1"/>
  <c r="AM437" i="2" s="1"/>
  <c r="AO437" i="2" s="1"/>
  <c r="AJ479" i="2"/>
  <c r="AK479" i="2" s="1"/>
  <c r="AL479" i="2" s="1"/>
  <c r="AM479" i="2" s="1"/>
  <c r="AO479" i="2" s="1"/>
  <c r="AJ466" i="2"/>
  <c r="AK466" i="2" s="1"/>
  <c r="AL466" i="2" s="1"/>
  <c r="AM466" i="2" s="1"/>
  <c r="AO466" i="2" s="1"/>
  <c r="AO342" i="2"/>
  <c r="AL342" i="2"/>
  <c r="AM342" i="2" s="1"/>
  <c r="AO326" i="2"/>
  <c r="AL326" i="2"/>
  <c r="AM326" i="2" s="1"/>
  <c r="AJ400" i="2"/>
  <c r="AK400" i="2" s="1"/>
  <c r="AL400" i="2" s="1"/>
  <c r="AM400" i="2" s="1"/>
  <c r="AO400" i="2" s="1"/>
  <c r="AJ1332" i="2"/>
  <c r="AK1332" i="2" s="1"/>
  <c r="AL1332" i="2" s="1"/>
  <c r="AM1332" i="2" s="1"/>
  <c r="AO1332" i="2" s="1"/>
  <c r="AJ1280" i="2"/>
  <c r="AJ1270" i="2"/>
  <c r="AK1270" i="2" s="1"/>
  <c r="AL1270" i="2" s="1"/>
  <c r="AM1270" i="2" s="1"/>
  <c r="AO1270" i="2" s="1"/>
  <c r="AJ1239" i="2"/>
  <c r="AK1239" i="2" s="1"/>
  <c r="AL1239" i="2" s="1"/>
  <c r="AM1239" i="2" s="1"/>
  <c r="AO1239" i="2" s="1"/>
  <c r="AJ1190" i="2"/>
  <c r="AK1190" i="2" s="1"/>
  <c r="AL1190" i="2" s="1"/>
  <c r="AM1190" i="2" s="1"/>
  <c r="AO1190" i="2" s="1"/>
  <c r="AL1206" i="2"/>
  <c r="AM1206" i="2" s="1"/>
  <c r="AN1206" i="2" s="1"/>
  <c r="AJ1128" i="2"/>
  <c r="AJ1132" i="2"/>
  <c r="AK1132" i="2" s="1"/>
  <c r="AL1132" i="2" s="1"/>
  <c r="AM1132" i="2" s="1"/>
  <c r="AO1132" i="2" s="1"/>
  <c r="AJ1172" i="2"/>
  <c r="AK1172" i="2" s="1"/>
  <c r="AL1172" i="2" s="1"/>
  <c r="AM1172" i="2" s="1"/>
  <c r="AO1172" i="2" s="1"/>
  <c r="AJ1091" i="2"/>
  <c r="AK1091" i="2" s="1"/>
  <c r="AK1039" i="2"/>
  <c r="AJ972" i="2"/>
  <c r="AK972" i="2" s="1"/>
  <c r="AL972" i="2" s="1"/>
  <c r="AM972" i="2" s="1"/>
  <c r="AO972" i="2" s="1"/>
  <c r="AJ909" i="2"/>
  <c r="AK909" i="2" s="1"/>
  <c r="AL909" i="2" s="1"/>
  <c r="AM909" i="2" s="1"/>
  <c r="AO909" i="2" s="1"/>
  <c r="AJ856" i="2"/>
  <c r="AK856" i="2" s="1"/>
  <c r="AL856" i="2" s="1"/>
  <c r="AM856" i="2" s="1"/>
  <c r="AO856" i="2" s="1"/>
  <c r="AJ862" i="2"/>
  <c r="AJ613" i="2"/>
  <c r="AK613" i="2" s="1"/>
  <c r="AL613" i="2" s="1"/>
  <c r="AM613" i="2" s="1"/>
  <c r="AO613" i="2" s="1"/>
  <c r="AJ580" i="2"/>
  <c r="AJ153" i="2"/>
  <c r="AJ1312" i="2"/>
  <c r="AK1215" i="2"/>
  <c r="AJ1211" i="2"/>
  <c r="AK1211" i="2" s="1"/>
  <c r="AL1211" i="2" s="1"/>
  <c r="AM1211" i="2" s="1"/>
  <c r="AK1124" i="2"/>
  <c r="AL1124" i="2" s="1"/>
  <c r="AM1124" i="2" s="1"/>
  <c r="AN1124" i="2" s="1"/>
  <c r="AO1124" i="2" s="1"/>
  <c r="AJ1146" i="2"/>
  <c r="AK889" i="2"/>
  <c r="AL889" i="2" s="1"/>
  <c r="AM889" i="2" s="1"/>
  <c r="AO889" i="2" s="1"/>
  <c r="AK848" i="2"/>
  <c r="AL848" i="2" s="1"/>
  <c r="AM848" i="2" s="1"/>
  <c r="AJ884" i="2"/>
  <c r="AK884" i="2" s="1"/>
  <c r="AL884" i="2" s="1"/>
  <c r="AM884" i="2" s="1"/>
  <c r="AO884" i="2" s="1"/>
  <c r="AK541" i="2"/>
  <c r="AL541" i="2" s="1"/>
  <c r="AM541" i="2" s="1"/>
  <c r="AO541" i="2" s="1"/>
  <c r="AK414" i="2"/>
  <c r="AL414" i="2" s="1"/>
  <c r="AM414" i="2" s="1"/>
  <c r="AO414" i="2" s="1"/>
  <c r="AN177" i="2"/>
  <c r="AO177" i="2" s="1"/>
  <c r="AJ1289" i="2"/>
  <c r="AK1289" i="2" s="1"/>
  <c r="AL1289" i="2" s="1"/>
  <c r="AM1289" i="2" s="1"/>
  <c r="AO1289" i="2" s="1"/>
  <c r="AK1306" i="2"/>
  <c r="AL1306" i="2" s="1"/>
  <c r="AM1306" i="2" s="1"/>
  <c r="AO1306" i="2" s="1"/>
  <c r="AK1318" i="2"/>
  <c r="AL1318" i="2" s="1"/>
  <c r="AM1318" i="2" s="1"/>
  <c r="AO1318" i="2" s="1"/>
  <c r="AJ970" i="2"/>
  <c r="AK970" i="2" s="1"/>
  <c r="AL970" i="2" s="1"/>
  <c r="AM970" i="2" s="1"/>
  <c r="AO970" i="2" s="1"/>
  <c r="AJ1334" i="2"/>
  <c r="AK1334" i="2" s="1"/>
  <c r="AL1334" i="2" s="1"/>
  <c r="AM1334" i="2" s="1"/>
  <c r="AO1334" i="2" s="1"/>
  <c r="AJ1279" i="2"/>
  <c r="AK1279" i="2" s="1"/>
  <c r="AJ1333" i="2"/>
  <c r="AK1333" i="2" s="1"/>
  <c r="AL1333" i="2" s="1"/>
  <c r="AM1333" i="2" s="1"/>
  <c r="AO1333" i="2" s="1"/>
  <c r="AJ1328" i="2"/>
  <c r="AJ1320" i="2"/>
  <c r="AK1223" i="2"/>
  <c r="AL1223" i="2" s="1"/>
  <c r="AM1223" i="2" s="1"/>
  <c r="AN1223" i="2" s="1"/>
  <c r="AO1223" i="2" s="1"/>
  <c r="AJ1166" i="2"/>
  <c r="AK1166" i="2" s="1"/>
  <c r="AL1166" i="2" s="1"/>
  <c r="AM1166" i="2" s="1"/>
  <c r="AJ1116" i="2"/>
  <c r="AK1116" i="2" s="1"/>
  <c r="AL1116" i="2" s="1"/>
  <c r="AM1116" i="2" s="1"/>
  <c r="AO1116" i="2" s="1"/>
  <c r="AJ1133" i="2"/>
  <c r="AK1133" i="2" s="1"/>
  <c r="AL1133" i="2" s="1"/>
  <c r="AM1133" i="2" s="1"/>
  <c r="AJ1130" i="2"/>
  <c r="AK1130" i="2" s="1"/>
  <c r="AL1130" i="2" s="1"/>
  <c r="AM1130" i="2" s="1"/>
  <c r="AN1130" i="2" s="1"/>
  <c r="AK1108" i="2"/>
  <c r="AL1108" i="2" s="1"/>
  <c r="AM1108" i="2" s="1"/>
  <c r="AO1108" i="2" s="1"/>
  <c r="AK1081" i="2"/>
  <c r="AJ956" i="2"/>
  <c r="AK956" i="2" s="1"/>
  <c r="AL956" i="2" s="1"/>
  <c r="AM956" i="2" s="1"/>
  <c r="AO956" i="2" s="1"/>
  <c r="AK799" i="2"/>
  <c r="AL799" i="2" s="1"/>
  <c r="AM799" i="2" s="1"/>
  <c r="AO799" i="2" s="1"/>
  <c r="AJ820" i="2"/>
  <c r="AK820" i="2" s="1"/>
  <c r="AL820" i="2" s="1"/>
  <c r="AM820" i="2" s="1"/>
  <c r="AO820" i="2" s="1"/>
  <c r="AJ745" i="2"/>
  <c r="AK745" i="2" s="1"/>
  <c r="AL745" i="2" s="1"/>
  <c r="AM745" i="2" s="1"/>
  <c r="AO745" i="2" s="1"/>
  <c r="AJ514" i="2"/>
  <c r="AK514" i="2" s="1"/>
  <c r="AL514" i="2" s="1"/>
  <c r="AM514" i="2" s="1"/>
  <c r="AO514" i="2" s="1"/>
  <c r="AJ498" i="2"/>
  <c r="AK498" i="2" s="1"/>
  <c r="AL498" i="2" s="1"/>
  <c r="AM498" i="2" s="1"/>
  <c r="AO498" i="2" s="1"/>
  <c r="AJ1273" i="2"/>
  <c r="AK1273" i="2" s="1"/>
  <c r="AL1273" i="2" s="1"/>
  <c r="AM1273" i="2" s="1"/>
  <c r="AO1273" i="2" s="1"/>
  <c r="AJ1314" i="2"/>
  <c r="AK1314" i="2" s="1"/>
  <c r="AL1314" i="2" s="1"/>
  <c r="AM1314" i="2" s="1"/>
  <c r="AO1314" i="2" s="1"/>
  <c r="AJ1252" i="2"/>
  <c r="AK1252" i="2" s="1"/>
  <c r="AL1252" i="2" s="1"/>
  <c r="AM1252" i="2" s="1"/>
  <c r="AO1252" i="2" s="1"/>
  <c r="AJ1089" i="2"/>
  <c r="AK1138" i="2"/>
  <c r="AL1138" i="2" s="1"/>
  <c r="AM1138" i="2" s="1"/>
  <c r="AO1138" i="2" s="1"/>
  <c r="AJ1086" i="2"/>
  <c r="AK1086" i="2" s="1"/>
  <c r="AL1086" i="2" s="1"/>
  <c r="AM1086" i="2" s="1"/>
  <c r="AO1086" i="2" s="1"/>
  <c r="AJ1134" i="2"/>
  <c r="AK1134" i="2" s="1"/>
  <c r="AL1134" i="2" s="1"/>
  <c r="AM1134" i="2" s="1"/>
  <c r="AN1134" i="2" s="1"/>
  <c r="AK1005" i="2"/>
  <c r="AL1005" i="2" s="1"/>
  <c r="AM1005" i="2" s="1"/>
  <c r="AO1005" i="2" s="1"/>
  <c r="AJ907" i="2"/>
  <c r="AK907" i="2" s="1"/>
  <c r="AL907" i="2" s="1"/>
  <c r="AM907" i="2" s="1"/>
  <c r="AO907" i="2" s="1"/>
  <c r="AJ901" i="2"/>
  <c r="AK901" i="2" s="1"/>
  <c r="AL901" i="2" s="1"/>
  <c r="AM901" i="2" s="1"/>
  <c r="AO901" i="2" s="1"/>
  <c r="AK411" i="2"/>
  <c r="AK322" i="2"/>
  <c r="AJ1232" i="2"/>
  <c r="AJ1340" i="2"/>
  <c r="AK1340" i="2" s="1"/>
  <c r="AL1340" i="2" s="1"/>
  <c r="AM1340" i="2" s="1"/>
  <c r="AO1340" i="2" s="1"/>
  <c r="AJ1284" i="2"/>
  <c r="AK1284" i="2" s="1"/>
  <c r="AL1284" i="2" s="1"/>
  <c r="AM1284" i="2" s="1"/>
  <c r="AO1284" i="2" s="1"/>
  <c r="AJ1304" i="2"/>
  <c r="AK1304" i="2" s="1"/>
  <c r="AL1304" i="2" s="1"/>
  <c r="AM1304" i="2" s="1"/>
  <c r="AO1304" i="2" s="1"/>
  <c r="AJ1269" i="2"/>
  <c r="AK1269" i="2" s="1"/>
  <c r="AL1269" i="2" s="1"/>
  <c r="AM1269" i="2" s="1"/>
  <c r="AO1269" i="2" s="1"/>
  <c r="AJ1213" i="2"/>
  <c r="AK1213" i="2" s="1"/>
  <c r="AL1213" i="2" s="1"/>
  <c r="AM1213" i="2" s="1"/>
  <c r="AJ1183" i="2"/>
  <c r="AK1183" i="2" s="1"/>
  <c r="AL1183" i="2" s="1"/>
  <c r="AM1183" i="2" s="1"/>
  <c r="AO1183" i="2" s="1"/>
  <c r="AJ1163" i="2"/>
  <c r="AK1163" i="2" s="1"/>
  <c r="AL1163" i="2" s="1"/>
  <c r="AM1163" i="2" s="1"/>
  <c r="AJ1158" i="2"/>
  <c r="AK1158" i="2" s="1"/>
  <c r="AL1158" i="2" s="1"/>
  <c r="AM1158" i="2" s="1"/>
  <c r="AO1158" i="2" s="1"/>
  <c r="AJ1000" i="2"/>
  <c r="AK1000" i="2" s="1"/>
  <c r="AL1000" i="2" s="1"/>
  <c r="AM1000" i="2" s="1"/>
  <c r="AO1000" i="2" s="1"/>
  <c r="AJ960" i="2"/>
  <c r="AK960" i="2" s="1"/>
  <c r="AL960" i="2" s="1"/>
  <c r="AM960" i="2" s="1"/>
  <c r="AO960" i="2" s="1"/>
  <c r="AJ891" i="2"/>
  <c r="AK891" i="2" s="1"/>
  <c r="AL891" i="2" s="1"/>
  <c r="AM891" i="2" s="1"/>
  <c r="AO891" i="2" s="1"/>
  <c r="AK826" i="2"/>
  <c r="AL826" i="2" s="1"/>
  <c r="AM826" i="2" s="1"/>
  <c r="AO826" i="2" s="1"/>
  <c r="AJ827" i="2"/>
  <c r="AJ701" i="2"/>
  <c r="AJ692" i="2"/>
  <c r="AK692" i="2" s="1"/>
  <c r="AL692" i="2" s="1"/>
  <c r="AM692" i="2" s="1"/>
  <c r="AO692" i="2" s="1"/>
  <c r="AJ526" i="2"/>
  <c r="AJ517" i="2"/>
  <c r="AK517" i="2" s="1"/>
  <c r="AL517" i="2" s="1"/>
  <c r="AM517" i="2" s="1"/>
  <c r="AO517" i="2" s="1"/>
  <c r="AJ489" i="2"/>
  <c r="AK489" i="2" s="1"/>
  <c r="AL489" i="2" s="1"/>
  <c r="AM489" i="2" s="1"/>
  <c r="AO489" i="2" s="1"/>
  <c r="AJ304" i="2"/>
  <c r="AK304" i="2" s="1"/>
  <c r="AL304" i="2" s="1"/>
  <c r="AM304" i="2" s="1"/>
  <c r="AO304" i="2" s="1"/>
  <c r="AJ1317" i="2"/>
  <c r="AJ1264" i="2"/>
  <c r="AK1264" i="2" s="1"/>
  <c r="AL1264" i="2" s="1"/>
  <c r="AM1264" i="2" s="1"/>
  <c r="AO1264" i="2" s="1"/>
  <c r="AK1305" i="2"/>
  <c r="AL1305" i="2" s="1"/>
  <c r="AM1305" i="2" s="1"/>
  <c r="AO1305" i="2" s="1"/>
  <c r="AJ1286" i="2"/>
  <c r="AK1286" i="2" s="1"/>
  <c r="AL1286" i="2" s="1"/>
  <c r="AM1286" i="2" s="1"/>
  <c r="AO1286" i="2" s="1"/>
  <c r="AJ1179" i="2"/>
  <c r="AK1179" i="2" s="1"/>
  <c r="AL1179" i="2" s="1"/>
  <c r="AM1179" i="2" s="1"/>
  <c r="AO1179" i="2" s="1"/>
  <c r="AJ1067" i="2"/>
  <c r="AK1067" i="2" s="1"/>
  <c r="AL1067" i="2" s="1"/>
  <c r="AM1067" i="2" s="1"/>
  <c r="AO1067" i="2" s="1"/>
  <c r="AJ949" i="2"/>
  <c r="AK949" i="2" s="1"/>
  <c r="AL949" i="2" s="1"/>
  <c r="AM949" i="2" s="1"/>
  <c r="AO949" i="2" s="1"/>
  <c r="AJ927" i="2"/>
  <c r="AK927" i="2" s="1"/>
  <c r="AL927" i="2" s="1"/>
  <c r="AM927" i="2" s="1"/>
  <c r="AO927" i="2" s="1"/>
  <c r="AJ841" i="2"/>
  <c r="AK841" i="2" s="1"/>
  <c r="AJ798" i="2"/>
  <c r="AK798" i="2" s="1"/>
  <c r="AL798" i="2" s="1"/>
  <c r="AM798" i="2" s="1"/>
  <c r="AO798" i="2" s="1"/>
  <c r="AJ814" i="2"/>
  <c r="AK814" i="2" s="1"/>
  <c r="AL814" i="2" s="1"/>
  <c r="AM814" i="2" s="1"/>
  <c r="AO814" i="2" s="1"/>
  <c r="AJ608" i="2"/>
  <c r="AK608" i="2" s="1"/>
  <c r="AL608" i="2" s="1"/>
  <c r="AM608" i="2" s="1"/>
  <c r="AO608" i="2" s="1"/>
  <c r="AJ469" i="2"/>
  <c r="AK469" i="2" s="1"/>
  <c r="AL469" i="2" s="1"/>
  <c r="AM469" i="2" s="1"/>
  <c r="AO469" i="2" s="1"/>
  <c r="AJ363" i="2"/>
  <c r="AK363" i="2" s="1"/>
  <c r="AL363" i="2" s="1"/>
  <c r="AM363" i="2" s="1"/>
  <c r="AO363" i="2" s="1"/>
  <c r="AK1045" i="2"/>
  <c r="AL1045" i="2" s="1"/>
  <c r="AM1045" i="2" s="1"/>
  <c r="AO1045" i="2" s="1"/>
  <c r="AJ996" i="2"/>
  <c r="AK996" i="2" s="1"/>
  <c r="AL996" i="2" s="1"/>
  <c r="AM996" i="2" s="1"/>
  <c r="AO996" i="2" s="1"/>
  <c r="AJ934" i="2"/>
  <c r="AJ928" i="2"/>
  <c r="AK928" i="2" s="1"/>
  <c r="AL928" i="2" s="1"/>
  <c r="AM928" i="2" s="1"/>
  <c r="AO928" i="2" s="1"/>
  <c r="AK967" i="2"/>
  <c r="AL967" i="2" s="1"/>
  <c r="AM967" i="2" s="1"/>
  <c r="AO967" i="2" s="1"/>
  <c r="AJ874" i="2"/>
  <c r="AK874" i="2" s="1"/>
  <c r="AL874" i="2" s="1"/>
  <c r="AM874" i="2" s="1"/>
  <c r="AO874" i="2" s="1"/>
  <c r="AJ845" i="2"/>
  <c r="AK845" i="2" s="1"/>
  <c r="AL845" i="2" s="1"/>
  <c r="AM845" i="2" s="1"/>
  <c r="AK851" i="2"/>
  <c r="AL851" i="2" s="1"/>
  <c r="AM851" i="2" s="1"/>
  <c r="AJ754" i="2"/>
  <c r="AK754" i="2" s="1"/>
  <c r="AL754" i="2" s="1"/>
  <c r="AM754" i="2" s="1"/>
  <c r="AO754" i="2" s="1"/>
  <c r="AJ651" i="2"/>
  <c r="AK651" i="2" s="1"/>
  <c r="AJ682" i="2"/>
  <c r="AK682" i="2" s="1"/>
  <c r="AL682" i="2" s="1"/>
  <c r="AM682" i="2" s="1"/>
  <c r="AO682" i="2" s="1"/>
  <c r="AK709" i="2"/>
  <c r="AJ534" i="2"/>
  <c r="AK534" i="2" s="1"/>
  <c r="AL534" i="2" s="1"/>
  <c r="AM534" i="2" s="1"/>
  <c r="AO534" i="2" s="1"/>
  <c r="AJ438" i="2"/>
  <c r="AK438" i="2" s="1"/>
  <c r="AL438" i="2" s="1"/>
  <c r="AM438" i="2" s="1"/>
  <c r="AO438" i="2" s="1"/>
  <c r="AK490" i="2"/>
  <c r="AL490" i="2" s="1"/>
  <c r="AM490" i="2" s="1"/>
  <c r="AO490" i="2" s="1"/>
  <c r="AJ535" i="2"/>
  <c r="AK535" i="2" s="1"/>
  <c r="AL535" i="2" s="1"/>
  <c r="AM535" i="2" s="1"/>
  <c r="AO535" i="2" s="1"/>
  <c r="AJ471" i="2"/>
  <c r="AJ359" i="2"/>
  <c r="AK359" i="2" s="1"/>
  <c r="AJ527" i="2"/>
  <c r="AJ348" i="2"/>
  <c r="AK348" i="2" s="1"/>
  <c r="AK365" i="2"/>
  <c r="AJ236" i="2"/>
  <c r="AK236" i="2" s="1"/>
  <c r="AJ235" i="2"/>
  <c r="AK235" i="2" s="1"/>
  <c r="AL235" i="2" s="1"/>
  <c r="AM235" i="2" s="1"/>
  <c r="AJ145" i="2"/>
  <c r="AJ140" i="2"/>
  <c r="AJ144" i="2"/>
  <c r="AK144" i="2" s="1"/>
  <c r="AL144" i="2" s="1"/>
  <c r="AM144" i="2" s="1"/>
  <c r="AO144" i="2" s="1"/>
  <c r="AJ96" i="2"/>
  <c r="AK96" i="2" s="1"/>
  <c r="AL96" i="2" s="1"/>
  <c r="AM96" i="2" s="1"/>
  <c r="AO96" i="2" s="1"/>
  <c r="AJ71" i="2"/>
  <c r="AK71" i="2" s="1"/>
  <c r="AJ20" i="2"/>
  <c r="AK20" i="2" s="1"/>
  <c r="AL20" i="2" s="1"/>
  <c r="AM20" i="2" s="1"/>
  <c r="AO20" i="2" s="1"/>
  <c r="AJ13" i="2"/>
  <c r="AK13" i="2" s="1"/>
  <c r="AL13" i="2" s="1"/>
  <c r="AM13" i="2" s="1"/>
  <c r="AO13" i="2" s="1"/>
  <c r="AK958" i="2"/>
  <c r="AL958" i="2" s="1"/>
  <c r="AM958" i="2" s="1"/>
  <c r="AO958" i="2" s="1"/>
  <c r="AJ1037" i="2"/>
  <c r="AK1037" i="2" s="1"/>
  <c r="AJ832" i="2"/>
  <c r="AK832" i="2" s="1"/>
  <c r="AL832" i="2" s="1"/>
  <c r="AM832" i="2" s="1"/>
  <c r="AO832" i="2" s="1"/>
  <c r="AK824" i="2"/>
  <c r="AL824" i="2" s="1"/>
  <c r="AM824" i="2" s="1"/>
  <c r="AO824" i="2" s="1"/>
  <c r="AJ752" i="2"/>
  <c r="AK752" i="2" s="1"/>
  <c r="AL752" i="2" s="1"/>
  <c r="AM752" i="2" s="1"/>
  <c r="AO752" i="2" s="1"/>
  <c r="AK756" i="2"/>
  <c r="AL756" i="2" s="1"/>
  <c r="AM756" i="2" s="1"/>
  <c r="AO756" i="2" s="1"/>
  <c r="AJ669" i="2"/>
  <c r="AJ628" i="2"/>
  <c r="AK628" i="2" s="1"/>
  <c r="AL628" i="2" s="1"/>
  <c r="AM628" i="2" s="1"/>
  <c r="AO628" i="2" s="1"/>
  <c r="AK530" i="2"/>
  <c r="AL530" i="2" s="1"/>
  <c r="AM530" i="2" s="1"/>
  <c r="AO530" i="2" s="1"/>
  <c r="AK434" i="2"/>
  <c r="AL434" i="2" s="1"/>
  <c r="AM434" i="2" s="1"/>
  <c r="AO434" i="2" s="1"/>
  <c r="AK567" i="2"/>
  <c r="AL567" i="2" s="1"/>
  <c r="AM567" i="2" s="1"/>
  <c r="AO567" i="2" s="1"/>
  <c r="AJ540" i="2"/>
  <c r="AK540" i="2" s="1"/>
  <c r="AL540" i="2" s="1"/>
  <c r="AM540" i="2" s="1"/>
  <c r="AO540" i="2" s="1"/>
  <c r="AJ533" i="2"/>
  <c r="AK533" i="2" s="1"/>
  <c r="AL533" i="2" s="1"/>
  <c r="AM533" i="2" s="1"/>
  <c r="AO533" i="2" s="1"/>
  <c r="AJ539" i="2"/>
  <c r="AK539" i="2" s="1"/>
  <c r="AL539" i="2" s="1"/>
  <c r="AM539" i="2" s="1"/>
  <c r="AO539" i="2" s="1"/>
  <c r="AL392" i="2"/>
  <c r="AM392" i="2" s="1"/>
  <c r="AJ291" i="2"/>
  <c r="AK291" i="2" s="1"/>
  <c r="AL291" i="2" s="1"/>
  <c r="AM291" i="2" s="1"/>
  <c r="AN291" i="2" s="1"/>
  <c r="AL377" i="2"/>
  <c r="AM377" i="2" s="1"/>
  <c r="AJ137" i="2"/>
  <c r="AJ129" i="2"/>
  <c r="AK129" i="2" s="1"/>
  <c r="AL129" i="2" s="1"/>
  <c r="AM129" i="2" s="1"/>
  <c r="AN129" i="2" s="1"/>
  <c r="AJ473" i="2"/>
  <c r="AK404" i="2"/>
  <c r="AJ243" i="2"/>
  <c r="AK243" i="2" s="1"/>
  <c r="AL243" i="2" s="1"/>
  <c r="AM243" i="2" s="1"/>
  <c r="AJ103" i="2"/>
  <c r="AK103" i="2" s="1"/>
  <c r="AJ15" i="2"/>
  <c r="AK15" i="2" s="1"/>
  <c r="AL15" i="2" s="1"/>
  <c r="AM15" i="2" s="1"/>
  <c r="AO15" i="2" s="1"/>
  <c r="AJ396" i="2"/>
  <c r="AK396" i="2" s="1"/>
  <c r="AJ286" i="2"/>
  <c r="AK286" i="2" s="1"/>
  <c r="AL286" i="2" s="1"/>
  <c r="AM286" i="2" s="1"/>
  <c r="AO286" i="2" s="1"/>
  <c r="AJ218" i="2"/>
  <c r="AK218" i="2" s="1"/>
  <c r="AL218" i="2" s="1"/>
  <c r="AM218" i="2" s="1"/>
  <c r="AO218" i="2" s="1"/>
  <c r="AJ67" i="2"/>
  <c r="AK67" i="2" s="1"/>
  <c r="AJ143" i="2"/>
  <c r="AK143" i="2" s="1"/>
  <c r="AK7" i="2"/>
  <c r="AK345" i="2"/>
  <c r="AJ329" i="2"/>
  <c r="AK329" i="2" s="1"/>
  <c r="AJ284" i="2"/>
  <c r="AK284" i="2" s="1"/>
  <c r="AL284" i="2" s="1"/>
  <c r="AM284" i="2" s="1"/>
  <c r="AO284" i="2" s="1"/>
  <c r="AK98" i="2"/>
  <c r="AL98" i="2" s="1"/>
  <c r="AM98" i="2" s="1"/>
  <c r="AO98" i="2" s="1"/>
  <c r="AJ804" i="2"/>
  <c r="AK804" i="2" s="1"/>
  <c r="AL804" i="2" s="1"/>
  <c r="AM804" i="2" s="1"/>
  <c r="AO804" i="2" s="1"/>
  <c r="AJ803" i="2"/>
  <c r="AK803" i="2" s="1"/>
  <c r="AL803" i="2" s="1"/>
  <c r="AM803" i="2" s="1"/>
  <c r="AO803" i="2" s="1"/>
  <c r="AJ741" i="2"/>
  <c r="AJ726" i="2"/>
  <c r="AK726" i="2" s="1"/>
  <c r="AL726" i="2" s="1"/>
  <c r="AM726" i="2" s="1"/>
  <c r="AO726" i="2" s="1"/>
  <c r="AK710" i="2"/>
  <c r="AL710" i="2" s="1"/>
  <c r="AM710" i="2" s="1"/>
  <c r="AO710" i="2" s="1"/>
  <c r="AJ690" i="2"/>
  <c r="AK690" i="2" s="1"/>
  <c r="AL690" i="2" s="1"/>
  <c r="AM690" i="2" s="1"/>
  <c r="AO690" i="2" s="1"/>
  <c r="AJ610" i="2"/>
  <c r="AK610" i="2" s="1"/>
  <c r="AL610" i="2" s="1"/>
  <c r="AM610" i="2" s="1"/>
  <c r="AO610" i="2" s="1"/>
  <c r="AJ607" i="2"/>
  <c r="AK607" i="2" s="1"/>
  <c r="AL607" i="2" s="1"/>
  <c r="AM607" i="2" s="1"/>
  <c r="AO607" i="2" s="1"/>
  <c r="AJ429" i="2"/>
  <c r="AK600" i="2"/>
  <c r="AL600" i="2" s="1"/>
  <c r="AM600" i="2" s="1"/>
  <c r="AO600" i="2" s="1"/>
  <c r="AJ524" i="2"/>
  <c r="AK524" i="2" s="1"/>
  <c r="AL524" i="2" s="1"/>
  <c r="AM524" i="2" s="1"/>
  <c r="AO524" i="2" s="1"/>
  <c r="AJ532" i="2"/>
  <c r="AK532" i="2" s="1"/>
  <c r="AL532" i="2" s="1"/>
  <c r="AM532" i="2" s="1"/>
  <c r="AO532" i="2" s="1"/>
  <c r="AJ323" i="2"/>
  <c r="AK323" i="2" s="1"/>
  <c r="AJ512" i="2"/>
  <c r="AK512" i="2" s="1"/>
  <c r="AL512" i="2" s="1"/>
  <c r="AM512" i="2" s="1"/>
  <c r="AO512" i="2" s="1"/>
  <c r="AJ388" i="2"/>
  <c r="AK388" i="2" s="1"/>
  <c r="AL388" i="2" s="1"/>
  <c r="AM388" i="2" s="1"/>
  <c r="AO388" i="2" s="1"/>
  <c r="AJ275" i="2"/>
  <c r="AK275" i="2" s="1"/>
  <c r="AL275" i="2" s="1"/>
  <c r="AM275" i="2" s="1"/>
  <c r="AJ277" i="2"/>
  <c r="AJ217" i="2"/>
  <c r="AK217" i="2" s="1"/>
  <c r="AL217" i="2" s="1"/>
  <c r="AM217" i="2" s="1"/>
  <c r="AO217" i="2" s="1"/>
  <c r="AL103" i="2"/>
  <c r="AM103" i="2" s="1"/>
  <c r="AN103" i="2" s="1"/>
  <c r="AJ63" i="2"/>
  <c r="I6" i="1"/>
  <c r="AJ28" i="2"/>
  <c r="AK28" i="2" s="1"/>
  <c r="AL28" i="2" s="1"/>
  <c r="AM28" i="2" s="1"/>
  <c r="AO28" i="2" s="1"/>
  <c r="AJ817" i="2"/>
  <c r="AK817" i="2" s="1"/>
  <c r="AL817" i="2" s="1"/>
  <c r="AM817" i="2" s="1"/>
  <c r="AO817" i="2" s="1"/>
  <c r="AL675" i="2"/>
  <c r="AM675" i="2" s="1"/>
  <c r="AJ519" i="2"/>
  <c r="AK519" i="2" s="1"/>
  <c r="AL519" i="2" s="1"/>
  <c r="AM519" i="2" s="1"/>
  <c r="AK474" i="2"/>
  <c r="AL474" i="2" s="1"/>
  <c r="AM474" i="2" s="1"/>
  <c r="AO474" i="2" s="1"/>
  <c r="AK426" i="2"/>
  <c r="AL426" i="2" s="1"/>
  <c r="AM426" i="2" s="1"/>
  <c r="AO426" i="2" s="1"/>
  <c r="AK515" i="2"/>
  <c r="AL515" i="2" s="1"/>
  <c r="AM515" i="2" s="1"/>
  <c r="AO515" i="2" s="1"/>
  <c r="AJ427" i="2"/>
  <c r="AJ160" i="2"/>
  <c r="AK160" i="2" s="1"/>
  <c r="AJ119" i="2"/>
  <c r="AK119" i="2" s="1"/>
  <c r="AJ33" i="2"/>
  <c r="AK33" i="2" s="1"/>
  <c r="AL33" i="2" s="1"/>
  <c r="AM33" i="2" s="1"/>
  <c r="AO33" i="2" s="1"/>
  <c r="AJ151" i="2"/>
  <c r="AK151" i="2" s="1"/>
  <c r="AL151" i="2" s="1"/>
  <c r="AM151" i="2" s="1"/>
  <c r="AK32" i="2"/>
  <c r="AL32" i="2" s="1"/>
  <c r="AM32" i="2" s="1"/>
  <c r="AN32" i="2" s="1"/>
  <c r="AJ51" i="2"/>
  <c r="AK51" i="2" s="1"/>
  <c r="AJ21" i="2"/>
  <c r="AK21" i="2" s="1"/>
  <c r="AL21" i="2" s="1"/>
  <c r="AM21" i="2" s="1"/>
  <c r="AO21" i="2" s="1"/>
  <c r="AJ290" i="2"/>
  <c r="AK290" i="2" s="1"/>
  <c r="AL290" i="2" s="1"/>
  <c r="AM290" i="2" s="1"/>
  <c r="AN290" i="2" s="1"/>
  <c r="AJ184" i="2"/>
  <c r="AK184" i="2" s="1"/>
  <c r="AL184" i="2" s="1"/>
  <c r="AM184" i="2" s="1"/>
  <c r="AJ266" i="2"/>
  <c r="AK266" i="2" s="1"/>
  <c r="AL266" i="2" s="1"/>
  <c r="AM266" i="2" s="1"/>
  <c r="AO266" i="2" s="1"/>
  <c r="AJ270" i="2"/>
  <c r="AK270" i="2" s="1"/>
  <c r="AL270" i="2" s="1"/>
  <c r="AM270" i="2" s="1"/>
  <c r="AO270" i="2" s="1"/>
  <c r="AK52" i="2"/>
  <c r="AL52" i="2" s="1"/>
  <c r="AM52" i="2" s="1"/>
  <c r="AO52" i="2" s="1"/>
  <c r="AJ778" i="2"/>
  <c r="AK778" i="2" s="1"/>
  <c r="AL778" i="2" s="1"/>
  <c r="AM778" i="2" s="1"/>
  <c r="AO778" i="2" s="1"/>
  <c r="AL712" i="2"/>
  <c r="AM712" i="2" s="1"/>
  <c r="AJ603" i="2"/>
  <c r="AK523" i="2"/>
  <c r="AL523" i="2" s="1"/>
  <c r="AM523" i="2" s="1"/>
  <c r="AO523" i="2" s="1"/>
  <c r="AJ382" i="2"/>
  <c r="AK382" i="2" s="1"/>
  <c r="AJ450" i="2"/>
  <c r="AK450" i="2" s="1"/>
  <c r="AL450" i="2" s="1"/>
  <c r="AM450" i="2" s="1"/>
  <c r="AO450" i="2" s="1"/>
  <c r="AJ379" i="2"/>
  <c r="AK379" i="2" s="1"/>
  <c r="AJ278" i="2"/>
  <c r="AK278" i="2" s="1"/>
  <c r="AL278" i="2" s="1"/>
  <c r="AM278" i="2" s="1"/>
  <c r="AO278" i="2" s="1"/>
  <c r="AJ237" i="2"/>
  <c r="AK237" i="2" s="1"/>
  <c r="AJ182" i="2"/>
  <c r="AJ238" i="2"/>
  <c r="AK238" i="2" s="1"/>
  <c r="AK192" i="2"/>
  <c r="AL192" i="2" s="1"/>
  <c r="AM192" i="2" s="1"/>
  <c r="AO192" i="2" s="1"/>
  <c r="AJ124" i="2"/>
  <c r="AK124" i="2" s="1"/>
  <c r="AL124" i="2" s="1"/>
  <c r="AM124" i="2" s="1"/>
  <c r="AJ17" i="2"/>
  <c r="AK17" i="2" s="1"/>
  <c r="AL17" i="2" s="1"/>
  <c r="AM17" i="2" s="1"/>
  <c r="AJ19" i="2"/>
  <c r="AK19" i="2" s="1"/>
  <c r="AL19" i="2" s="1"/>
  <c r="AM19" i="2" s="1"/>
  <c r="AL670" i="2"/>
  <c r="AM670" i="2" s="1"/>
  <c r="AJ1151" i="2"/>
  <c r="AK1151" i="2" s="1"/>
  <c r="AL1151" i="2" s="1"/>
  <c r="AM1151" i="2" s="1"/>
  <c r="AO1151" i="2" s="1"/>
  <c r="AJ1007" i="2"/>
  <c r="AK1007" i="2" s="1"/>
  <c r="AL1007" i="2" s="1"/>
  <c r="AM1007" i="2" s="1"/>
  <c r="AO1007" i="2" s="1"/>
  <c r="AJ883" i="2"/>
  <c r="AK883" i="2" s="1"/>
  <c r="AL883" i="2" s="1"/>
  <c r="AM883" i="2" s="1"/>
  <c r="AJ819" i="2"/>
  <c r="AJ765" i="2"/>
  <c r="AK765" i="2" s="1"/>
  <c r="AL765" i="2" s="1"/>
  <c r="AM765" i="2" s="1"/>
  <c r="AO765" i="2" s="1"/>
  <c r="AK677" i="2"/>
  <c r="AJ602" i="2"/>
  <c r="AK602" i="2" s="1"/>
  <c r="AL602" i="2" s="1"/>
  <c r="AM602" i="2" s="1"/>
  <c r="AO602" i="2" s="1"/>
  <c r="AJ592" i="2"/>
  <c r="AK666" i="2"/>
  <c r="AK650" i="2"/>
  <c r="AJ484" i="2"/>
  <c r="AK484" i="2" s="1"/>
  <c r="AL484" i="2" s="1"/>
  <c r="AM484" i="2" s="1"/>
  <c r="AO484" i="2" s="1"/>
  <c r="AJ448" i="2"/>
  <c r="AK448" i="2" s="1"/>
  <c r="AL448" i="2" s="1"/>
  <c r="AM448" i="2" s="1"/>
  <c r="AO448" i="2" s="1"/>
  <c r="AJ425" i="2"/>
  <c r="AK425" i="2" s="1"/>
  <c r="AL425" i="2" s="1"/>
  <c r="AM425" i="2" s="1"/>
  <c r="AO425" i="2" s="1"/>
  <c r="AJ372" i="2"/>
  <c r="AJ258" i="2"/>
  <c r="AJ221" i="2"/>
  <c r="AK221" i="2" s="1"/>
  <c r="AL221" i="2" s="1"/>
  <c r="AM221" i="2" s="1"/>
  <c r="AJ259" i="2"/>
  <c r="AK259" i="2" s="1"/>
  <c r="AL259" i="2" s="1"/>
  <c r="AM259" i="2" s="1"/>
  <c r="AN259" i="2" s="1"/>
  <c r="AO259" i="2" s="1"/>
  <c r="AJ90" i="2"/>
  <c r="AK79" i="2"/>
  <c r="AL79" i="2" s="1"/>
  <c r="AM79" i="2" s="1"/>
  <c r="AO79" i="2" s="1"/>
  <c r="AL16" i="2"/>
  <c r="AM16" i="2" s="1"/>
  <c r="AO16" i="2" s="1"/>
  <c r="AK91" i="2"/>
  <c r="AL91" i="2" s="1"/>
  <c r="AM91" i="2" s="1"/>
  <c r="AN91" i="2" s="1"/>
  <c r="AJ1145" i="2"/>
  <c r="AK1145" i="2" s="1"/>
  <c r="AL1145" i="2" s="1"/>
  <c r="AM1145" i="2" s="1"/>
  <c r="AJ1002" i="2"/>
  <c r="AK922" i="2"/>
  <c r="AL922" i="2" s="1"/>
  <c r="AM922" i="2" s="1"/>
  <c r="AO922" i="2" s="1"/>
  <c r="AJ870" i="2"/>
  <c r="AK870" i="2" s="1"/>
  <c r="AJ812" i="2"/>
  <c r="AK812" i="2" s="1"/>
  <c r="AL812" i="2" s="1"/>
  <c r="AM812" i="2" s="1"/>
  <c r="AO812" i="2" s="1"/>
  <c r="AJ810" i="2"/>
  <c r="AK810" i="2" s="1"/>
  <c r="AL810" i="2" s="1"/>
  <c r="AM810" i="2" s="1"/>
  <c r="AO810" i="2" s="1"/>
  <c r="AJ740" i="2"/>
  <c r="AK740" i="2" s="1"/>
  <c r="AJ674" i="2"/>
  <c r="AK674" i="2" s="1"/>
  <c r="AJ708" i="2"/>
  <c r="AK708" i="2" s="1"/>
  <c r="AL708" i="2" s="1"/>
  <c r="AM708" i="2" s="1"/>
  <c r="AO708" i="2" s="1"/>
  <c r="AJ557" i="2"/>
  <c r="AK557" i="2" s="1"/>
  <c r="AL557" i="2" s="1"/>
  <c r="AM557" i="2" s="1"/>
  <c r="AO557" i="2" s="1"/>
  <c r="AJ501" i="2"/>
  <c r="AJ487" i="2"/>
  <c r="AK487" i="2" s="1"/>
  <c r="AL487" i="2" s="1"/>
  <c r="AM487" i="2" s="1"/>
  <c r="AO487" i="2" s="1"/>
  <c r="AJ475" i="2"/>
  <c r="AK475" i="2" s="1"/>
  <c r="AL475" i="2" s="1"/>
  <c r="AM475" i="2" s="1"/>
  <c r="AO475" i="2" s="1"/>
  <c r="AJ373" i="2"/>
  <c r="AK373" i="2" s="1"/>
  <c r="AJ375" i="2"/>
  <c r="AK375" i="2" s="1"/>
  <c r="AL375" i="2" s="1"/>
  <c r="AM375" i="2" s="1"/>
  <c r="AO375" i="2" s="1"/>
  <c r="AJ370" i="2"/>
  <c r="AK370" i="2" s="1"/>
  <c r="AK272" i="2"/>
  <c r="AJ171" i="2"/>
  <c r="AK171" i="2" s="1"/>
  <c r="AJ74" i="2"/>
  <c r="AK74" i="2" s="1"/>
  <c r="AL74" i="2" s="1"/>
  <c r="AM74" i="2" s="1"/>
  <c r="AO74" i="2" s="1"/>
  <c r="AJ108" i="2"/>
  <c r="AK108" i="2" s="1"/>
  <c r="AJ165" i="2"/>
  <c r="AK165" i="2" s="1"/>
  <c r="AJ47" i="2"/>
  <c r="AJ135" i="2"/>
  <c r="AJ87" i="2"/>
  <c r="AK87" i="2" s="1"/>
  <c r="AL87" i="2" s="1"/>
  <c r="AM87" i="2" s="1"/>
  <c r="AO87" i="2" s="1"/>
  <c r="AJ35" i="2"/>
  <c r="AK35" i="2" s="1"/>
  <c r="AL35" i="2" s="1"/>
  <c r="AM35" i="2" s="1"/>
  <c r="AO35" i="2" s="1"/>
  <c r="AJ1233" i="2"/>
  <c r="AK1233" i="2" s="1"/>
  <c r="AL1233" i="2" s="1"/>
  <c r="AM1233" i="2" s="1"/>
  <c r="AO1233" i="2" s="1"/>
  <c r="AJ1188" i="2"/>
  <c r="AK1188" i="2" s="1"/>
  <c r="AL1188" i="2" s="1"/>
  <c r="AM1188" i="2" s="1"/>
  <c r="AO1188" i="2" s="1"/>
  <c r="AL1103" i="2"/>
  <c r="AM1103" i="2" s="1"/>
  <c r="AJ1027" i="2"/>
  <c r="AK1027" i="2" s="1"/>
  <c r="AL1027" i="2" s="1"/>
  <c r="AM1027" i="2" s="1"/>
  <c r="AO1027" i="2" s="1"/>
  <c r="AJ962" i="2"/>
  <c r="AK962" i="2" s="1"/>
  <c r="AL962" i="2" s="1"/>
  <c r="AM962" i="2" s="1"/>
  <c r="AO962" i="2" s="1"/>
  <c r="AL982" i="2"/>
  <c r="AM982" i="2" s="1"/>
  <c r="AJ915" i="2"/>
  <c r="AK915" i="2" s="1"/>
  <c r="AL915" i="2" s="1"/>
  <c r="AM915" i="2" s="1"/>
  <c r="AO915" i="2" s="1"/>
  <c r="AJ867" i="2"/>
  <c r="AK867" i="2" s="1"/>
  <c r="AJ842" i="2"/>
  <c r="AK842" i="2" s="1"/>
  <c r="AL842" i="2" s="1"/>
  <c r="AM842" i="2" s="1"/>
  <c r="AJ853" i="2"/>
  <c r="AK853" i="2" s="1"/>
  <c r="AL853" i="2" s="1"/>
  <c r="AM853" i="2" s="1"/>
  <c r="AN853" i="2" s="1"/>
  <c r="AJ768" i="2"/>
  <c r="AK737" i="2"/>
  <c r="AL737" i="2" s="1"/>
  <c r="AM737" i="2" s="1"/>
  <c r="AO737" i="2" s="1"/>
  <c r="AK733" i="2"/>
  <c r="AJ675" i="2"/>
  <c r="AJ639" i="2"/>
  <c r="AK639" i="2" s="1"/>
  <c r="AL639" i="2" s="1"/>
  <c r="AM639" i="2" s="1"/>
  <c r="AO639" i="2" s="1"/>
  <c r="AK589" i="2"/>
  <c r="AL589" i="2" s="1"/>
  <c r="AM589" i="2" s="1"/>
  <c r="AO589" i="2" s="1"/>
  <c r="AJ454" i="2"/>
  <c r="AK454" i="2" s="1"/>
  <c r="AL454" i="2" s="1"/>
  <c r="AM454" i="2" s="1"/>
  <c r="AO454" i="2" s="1"/>
  <c r="AJ492" i="2"/>
  <c r="AK492" i="2" s="1"/>
  <c r="AL492" i="2" s="1"/>
  <c r="AM492" i="2" s="1"/>
  <c r="AO492" i="2" s="1"/>
  <c r="AJ468" i="2"/>
  <c r="AJ397" i="2"/>
  <c r="AK397" i="2" s="1"/>
  <c r="AL397" i="2" s="1"/>
  <c r="AM397" i="2" s="1"/>
  <c r="AO397" i="2" s="1"/>
  <c r="AJ495" i="2"/>
  <c r="AL356" i="2"/>
  <c r="AM356" i="2" s="1"/>
  <c r="AK306" i="2"/>
  <c r="AJ211" i="2"/>
  <c r="AK211" i="2" s="1"/>
  <c r="AL211" i="2" s="1"/>
  <c r="AM211" i="2" s="1"/>
  <c r="AJ377" i="2"/>
  <c r="AK377" i="2" s="1"/>
  <c r="AJ200" i="2"/>
  <c r="AK200" i="2" s="1"/>
  <c r="AL200" i="2" s="1"/>
  <c r="AM200" i="2" s="1"/>
  <c r="AO200" i="2" s="1"/>
  <c r="AJ220" i="2"/>
  <c r="AK220" i="2" s="1"/>
  <c r="AL220" i="2" s="1"/>
  <c r="AM220" i="2" s="1"/>
  <c r="AN220" i="2" s="1"/>
  <c r="AJ161" i="2"/>
  <c r="AK161" i="2" s="1"/>
  <c r="AJ81" i="2"/>
  <c r="AJ114" i="2"/>
  <c r="AJ45" i="2"/>
  <c r="AK45" i="2" s="1"/>
  <c r="AL45" i="2" s="1"/>
  <c r="AM45" i="2" s="1"/>
  <c r="AO45" i="2" s="1"/>
  <c r="AK114" i="2"/>
  <c r="AL114" i="2" s="1"/>
  <c r="AM114" i="2" s="1"/>
  <c r="AJ38" i="2"/>
  <c r="AK38" i="2" s="1"/>
  <c r="AL38" i="2" s="1"/>
  <c r="AM38" i="2" s="1"/>
  <c r="AO38" i="2" s="1"/>
  <c r="AL88" i="2"/>
  <c r="AM88" i="2" s="1"/>
  <c r="AJ36" i="2"/>
  <c r="AK123" i="2"/>
  <c r="AJ1327" i="2"/>
  <c r="AK1327" i="2" s="1"/>
  <c r="AL1327" i="2" s="1"/>
  <c r="AM1327" i="2" s="1"/>
  <c r="AO1327" i="2" s="1"/>
  <c r="AJ1229" i="2"/>
  <c r="AK1229" i="2" s="1"/>
  <c r="AL1229" i="2" s="1"/>
  <c r="AM1229" i="2" s="1"/>
  <c r="AJ1203" i="2"/>
  <c r="AK1203" i="2" s="1"/>
  <c r="AJ1184" i="2"/>
  <c r="AJ1168" i="2"/>
  <c r="AK1168" i="2" s="1"/>
  <c r="AL1168" i="2" s="1"/>
  <c r="AM1168" i="2" s="1"/>
  <c r="AN1168" i="2" s="1"/>
  <c r="AJ1170" i="2"/>
  <c r="AK1170" i="2" s="1"/>
  <c r="AL1170" i="2" s="1"/>
  <c r="AM1170" i="2" s="1"/>
  <c r="AO1170" i="2" s="1"/>
  <c r="AJ1192" i="2"/>
  <c r="AK1192" i="2" s="1"/>
  <c r="AJ1118" i="2"/>
  <c r="AK1118" i="2" s="1"/>
  <c r="AL1118" i="2" s="1"/>
  <c r="AM1118" i="2" s="1"/>
  <c r="AJ1111" i="2"/>
  <c r="AJ1051" i="2"/>
  <c r="AK980" i="2"/>
  <c r="AJ1003" i="2"/>
  <c r="AK1003" i="2" s="1"/>
  <c r="AL1003" i="2" s="1"/>
  <c r="AM1003" i="2" s="1"/>
  <c r="AO1003" i="2" s="1"/>
  <c r="AJ759" i="2"/>
  <c r="AK759" i="2" s="1"/>
  <c r="AL759" i="2" s="1"/>
  <c r="AM759" i="2" s="1"/>
  <c r="AO759" i="2" s="1"/>
  <c r="AJ658" i="2"/>
  <c r="AJ587" i="2"/>
  <c r="AJ542" i="2"/>
  <c r="AK542" i="2" s="1"/>
  <c r="AL542" i="2" s="1"/>
  <c r="AM542" i="2" s="1"/>
  <c r="AO542" i="2" s="1"/>
  <c r="AJ496" i="2"/>
  <c r="AK496" i="2" s="1"/>
  <c r="AL496" i="2" s="1"/>
  <c r="AM496" i="2" s="1"/>
  <c r="AO496" i="2" s="1"/>
  <c r="AJ597" i="2"/>
  <c r="AK597" i="2" s="1"/>
  <c r="AL597" i="2" s="1"/>
  <c r="AM597" i="2" s="1"/>
  <c r="AO597" i="2" s="1"/>
  <c r="AJ505" i="2"/>
  <c r="AK505" i="2" s="1"/>
  <c r="AL505" i="2" s="1"/>
  <c r="AM505" i="2" s="1"/>
  <c r="AO505" i="2" s="1"/>
  <c r="AJ366" i="2"/>
  <c r="AK366" i="2" s="1"/>
  <c r="AJ242" i="2"/>
  <c r="AK242" i="2" s="1"/>
  <c r="AL242" i="2" s="1"/>
  <c r="AM242" i="2" s="1"/>
  <c r="AN242" i="2" s="1"/>
  <c r="AJ246" i="2"/>
  <c r="AK246" i="2" s="1"/>
  <c r="AL246" i="2" s="1"/>
  <c r="AM246" i="2" s="1"/>
  <c r="AO246" i="2" s="1"/>
  <c r="AL327" i="2"/>
  <c r="AM327" i="2" s="1"/>
  <c r="AK356" i="2"/>
  <c r="AJ287" i="2"/>
  <c r="AK167" i="2"/>
  <c r="AJ202" i="2"/>
  <c r="AK202" i="2" s="1"/>
  <c r="AL202" i="2" s="1"/>
  <c r="AM202" i="2" s="1"/>
  <c r="AJ154" i="2"/>
  <c r="AK154" i="2" s="1"/>
  <c r="AK83" i="2"/>
  <c r="AL83" i="2" s="1"/>
  <c r="AM83" i="2" s="1"/>
  <c r="AN83" i="2" s="1"/>
  <c r="AO83" i="2" s="1"/>
  <c r="AJ29" i="2"/>
  <c r="AJ10" i="2"/>
  <c r="AK10" i="2" s="1"/>
  <c r="AL10" i="2" s="1"/>
  <c r="AM10" i="2" s="1"/>
  <c r="AN10" i="2" s="1"/>
  <c r="AJ5" i="2"/>
  <c r="AK1280" i="2"/>
  <c r="AL1280" i="2" s="1"/>
  <c r="AM1280" i="2" s="1"/>
  <c r="AO1280" i="2" s="1"/>
  <c r="AK1221" i="2"/>
  <c r="AL1221" i="2" s="1"/>
  <c r="AM1221" i="2" s="1"/>
  <c r="AN1197" i="2"/>
  <c r="AO1197" i="2" s="1"/>
  <c r="AK1311" i="2"/>
  <c r="AK1316" i="2"/>
  <c r="AL1316" i="2" s="1"/>
  <c r="AM1316" i="2" s="1"/>
  <c r="AO1316" i="2" s="1"/>
  <c r="AK1023" i="2"/>
  <c r="AL1023" i="2" s="1"/>
  <c r="AM1023" i="2" s="1"/>
  <c r="AO1023" i="2" s="1"/>
  <c r="AK1040" i="2"/>
  <c r="AL1040" i="2" s="1"/>
  <c r="AM1040" i="2" s="1"/>
  <c r="AO1040" i="2" s="1"/>
  <c r="AN1230" i="2"/>
  <c r="AO1230" i="2" s="1"/>
  <c r="AK1308" i="2"/>
  <c r="AL1308" i="2" s="1"/>
  <c r="AM1308" i="2" s="1"/>
  <c r="AO1308" i="2" s="1"/>
  <c r="AK1248" i="2"/>
  <c r="AL1248" i="2" s="1"/>
  <c r="AM1248" i="2" s="1"/>
  <c r="AO1248" i="2" s="1"/>
  <c r="AK1034" i="2"/>
  <c r="AL1034" i="2" s="1"/>
  <c r="AM1034" i="2" s="1"/>
  <c r="AO1034" i="2" s="1"/>
  <c r="AK1173" i="2"/>
  <c r="AL1173" i="2" s="1"/>
  <c r="AM1173" i="2" s="1"/>
  <c r="AO1173" i="2" s="1"/>
  <c r="AK1204" i="2"/>
  <c r="AK1302" i="2"/>
  <c r="AK1317" i="2"/>
  <c r="AL1317" i="2" s="1"/>
  <c r="AM1317" i="2" s="1"/>
  <c r="AO1317" i="2" s="1"/>
  <c r="AK1254" i="2"/>
  <c r="W1202" i="2"/>
  <c r="X1202" i="2" s="1"/>
  <c r="Y1202" i="2" s="1"/>
  <c r="AJ1202" i="2"/>
  <c r="AJ1126" i="2"/>
  <c r="W1126" i="2"/>
  <c r="X1126" i="2" s="1"/>
  <c r="Y1126" i="2" s="1"/>
  <c r="AJ921" i="2"/>
  <c r="AK921" i="2" s="1"/>
  <c r="AJ876" i="2"/>
  <c r="W876" i="2"/>
  <c r="X876" i="2" s="1"/>
  <c r="Y876" i="2" s="1"/>
  <c r="AK844" i="2"/>
  <c r="AL844" i="2" s="1"/>
  <c r="AM844" i="2" s="1"/>
  <c r="AJ789" i="2"/>
  <c r="W789" i="2"/>
  <c r="X789" i="2" s="1"/>
  <c r="Y789" i="2" s="1"/>
  <c r="AJ1231" i="2"/>
  <c r="AK1231" i="2" s="1"/>
  <c r="AJ1265" i="2"/>
  <c r="W1258" i="2"/>
  <c r="X1258" i="2" s="1"/>
  <c r="Y1258" i="2" s="1"/>
  <c r="AJ1258" i="2"/>
  <c r="W1226" i="2"/>
  <c r="X1226" i="2" s="1"/>
  <c r="Y1226" i="2" s="1"/>
  <c r="AJ1226" i="2"/>
  <c r="AJ1207" i="2"/>
  <c r="W1207" i="2"/>
  <c r="X1207" i="2" s="1"/>
  <c r="Y1207" i="2" s="1"/>
  <c r="AK1177" i="2"/>
  <c r="AL1177" i="2" s="1"/>
  <c r="AM1177" i="2" s="1"/>
  <c r="AO1177" i="2" s="1"/>
  <c r="AJ1193" i="2"/>
  <c r="AJ1114" i="2"/>
  <c r="W1114" i="2"/>
  <c r="X1114" i="2" s="1"/>
  <c r="Y1114" i="2" s="1"/>
  <c r="AK1087" i="2"/>
  <c r="AL1087" i="2" s="1"/>
  <c r="AM1087" i="2" s="1"/>
  <c r="AO1087" i="2" s="1"/>
  <c r="AL1099" i="2"/>
  <c r="AM1099" i="2" s="1"/>
  <c r="AN1099" i="2" s="1"/>
  <c r="AJ1035" i="2"/>
  <c r="W1035" i="2"/>
  <c r="X1035" i="2" s="1"/>
  <c r="Y1035" i="2" s="1"/>
  <c r="AL983" i="2"/>
  <c r="AM983" i="2" s="1"/>
  <c r="AJ912" i="2"/>
  <c r="W912" i="2"/>
  <c r="X912" i="2" s="1"/>
  <c r="Y912" i="2" s="1"/>
  <c r="AK940" i="2"/>
  <c r="AL940" i="2" s="1"/>
  <c r="AM940" i="2" s="1"/>
  <c r="AO940" i="2" s="1"/>
  <c r="AJ795" i="2"/>
  <c r="W786" i="2"/>
  <c r="X786" i="2" s="1"/>
  <c r="Y786" i="2" s="1"/>
  <c r="AJ786" i="2"/>
  <c r="AN209" i="2"/>
  <c r="AO209" i="2" s="1"/>
  <c r="W1276" i="2"/>
  <c r="X1276" i="2" s="1"/>
  <c r="Y1276" i="2" s="1"/>
  <c r="AJ1276" i="2"/>
  <c r="AL1278" i="2"/>
  <c r="AM1278" i="2" s="1"/>
  <c r="AL1279" i="2"/>
  <c r="AM1279" i="2" s="1"/>
  <c r="AJ1242" i="2"/>
  <c r="AJ1157" i="2"/>
  <c r="W1157" i="2"/>
  <c r="X1157" i="2" s="1"/>
  <c r="Y1157" i="2" s="1"/>
  <c r="W1216" i="2"/>
  <c r="X1216" i="2" s="1"/>
  <c r="Y1216" i="2" s="1"/>
  <c r="AJ1216" i="2"/>
  <c r="AL1165" i="2"/>
  <c r="AM1165" i="2" s="1"/>
  <c r="AO1165" i="2" s="1"/>
  <c r="AL1109" i="2"/>
  <c r="AM1109" i="2" s="1"/>
  <c r="AN1109" i="2" s="1"/>
  <c r="AJ1056" i="2"/>
  <c r="W1056" i="2"/>
  <c r="X1056" i="2" s="1"/>
  <c r="Y1056" i="2" s="1"/>
  <c r="AJ951" i="2"/>
  <c r="AK951" i="2" s="1"/>
  <c r="AL951" i="2" s="1"/>
  <c r="AM951" i="2" s="1"/>
  <c r="AO951" i="2" s="1"/>
  <c r="W982" i="2"/>
  <c r="X982" i="2" s="1"/>
  <c r="Y982" i="2" s="1"/>
  <c r="AJ982" i="2"/>
  <c r="AJ773" i="2"/>
  <c r="W773" i="2"/>
  <c r="X773" i="2" s="1"/>
  <c r="Y773" i="2" s="1"/>
  <c r="AJ730" i="2"/>
  <c r="W730" i="2"/>
  <c r="X730" i="2" s="1"/>
  <c r="Y730" i="2" s="1"/>
  <c r="W728" i="2"/>
  <c r="X728" i="2" s="1"/>
  <c r="Y728" i="2" s="1"/>
  <c r="AJ728" i="2"/>
  <c r="AK473" i="2"/>
  <c r="AL473" i="2" s="1"/>
  <c r="AM473" i="2" s="1"/>
  <c r="AO473" i="2" s="1"/>
  <c r="AJ1217" i="2"/>
  <c r="W1217" i="2"/>
  <c r="X1217" i="2" s="1"/>
  <c r="Y1217" i="2" s="1"/>
  <c r="W1242" i="2"/>
  <c r="X1242" i="2" s="1"/>
  <c r="Y1242" i="2" s="1"/>
  <c r="W1187" i="2"/>
  <c r="X1187" i="2" s="1"/>
  <c r="Y1187" i="2" s="1"/>
  <c r="AJ1187" i="2"/>
  <c r="AJ1150" i="2"/>
  <c r="W1150" i="2"/>
  <c r="X1150" i="2" s="1"/>
  <c r="Y1150" i="2" s="1"/>
  <c r="W1182" i="2"/>
  <c r="X1182" i="2" s="1"/>
  <c r="Y1182" i="2" s="1"/>
  <c r="AJ1182" i="2"/>
  <c r="AJ1053" i="2"/>
  <c r="AK1053" i="2" s="1"/>
  <c r="AL1053" i="2" s="1"/>
  <c r="AM1053" i="2" s="1"/>
  <c r="AO1053" i="2" s="1"/>
  <c r="AK1123" i="2"/>
  <c r="AL1123" i="2" s="1"/>
  <c r="AM1123" i="2" s="1"/>
  <c r="AK1128" i="2"/>
  <c r="AL1128" i="2" s="1"/>
  <c r="AM1128" i="2" s="1"/>
  <c r="AN1128" i="2" s="1"/>
  <c r="AJ1006" i="2"/>
  <c r="AK1006" i="2" s="1"/>
  <c r="AL1006" i="2" s="1"/>
  <c r="AM1006" i="2" s="1"/>
  <c r="AO1006" i="2" s="1"/>
  <c r="AJ1024" i="2"/>
  <c r="AK1024" i="2" s="1"/>
  <c r="AL1024" i="2" s="1"/>
  <c r="AM1024" i="2" s="1"/>
  <c r="AO1024" i="2" s="1"/>
  <c r="AJ965" i="2"/>
  <c r="AK965" i="2" s="1"/>
  <c r="AL965" i="2" s="1"/>
  <c r="AM965" i="2" s="1"/>
  <c r="AO965" i="2" s="1"/>
  <c r="AJ919" i="2"/>
  <c r="Y919" i="2"/>
  <c r="X919" i="2"/>
  <c r="AJ879" i="2"/>
  <c r="W879" i="2"/>
  <c r="X879" i="2" s="1"/>
  <c r="Y879" i="2" s="1"/>
  <c r="AJ647" i="2"/>
  <c r="W647" i="2"/>
  <c r="X647" i="2" s="1"/>
  <c r="Y647" i="2" s="1"/>
  <c r="AJ624" i="2"/>
  <c r="AK624" i="2" s="1"/>
  <c r="AL624" i="2" s="1"/>
  <c r="AM624" i="2" s="1"/>
  <c r="AO624" i="2" s="1"/>
  <c r="AK603" i="2"/>
  <c r="AL603" i="2" s="1"/>
  <c r="AM603" i="2" s="1"/>
  <c r="AO603" i="2" s="1"/>
  <c r="AJ402" i="2"/>
  <c r="AK402" i="2" s="1"/>
  <c r="AL402" i="2" s="1"/>
  <c r="AM402" i="2" s="1"/>
  <c r="AO402" i="2" s="1"/>
  <c r="AK1214" i="2"/>
  <c r="AL1214" i="2" s="1"/>
  <c r="AM1214" i="2" s="1"/>
  <c r="AJ1255" i="2"/>
  <c r="AK1255" i="2" s="1"/>
  <c r="AL1255" i="2" s="1"/>
  <c r="AM1255" i="2" s="1"/>
  <c r="AO1255" i="2" s="1"/>
  <c r="AJ1155" i="2"/>
  <c r="W1155" i="2"/>
  <c r="X1155" i="2" s="1"/>
  <c r="Y1155" i="2" s="1"/>
  <c r="AK1184" i="2"/>
  <c r="AL1184" i="2" s="1"/>
  <c r="AM1184" i="2" s="1"/>
  <c r="AO1184" i="2" s="1"/>
  <c r="AJ1149" i="2"/>
  <c r="AK1185" i="2"/>
  <c r="AK1146" i="2"/>
  <c r="AL1146" i="2" s="1"/>
  <c r="AM1146" i="2" s="1"/>
  <c r="AO1146" i="2" s="1"/>
  <c r="AJ1046" i="2"/>
  <c r="W1046" i="2"/>
  <c r="X1046" i="2" s="1"/>
  <c r="Y1046" i="2" s="1"/>
  <c r="W795" i="2"/>
  <c r="X795" i="2" s="1"/>
  <c r="Y795" i="2" s="1"/>
  <c r="AJ676" i="2"/>
  <c r="AK676" i="2" s="1"/>
  <c r="AJ1294" i="2"/>
  <c r="AL1288" i="2"/>
  <c r="AM1288" i="2" s="1"/>
  <c r="AO1288" i="2" s="1"/>
  <c r="W1265" i="2"/>
  <c r="X1265" i="2" s="1"/>
  <c r="Y1265" i="2" s="1"/>
  <c r="AL1215" i="2"/>
  <c r="AM1215" i="2" s="1"/>
  <c r="AO1215" i="2" s="1"/>
  <c r="X1105" i="2"/>
  <c r="Y1105" i="2" s="1"/>
  <c r="AJ1105" i="2"/>
  <c r="W1149" i="2"/>
  <c r="X1149" i="2" s="1"/>
  <c r="Y1149" i="2" s="1"/>
  <c r="W1113" i="2"/>
  <c r="X1113" i="2" s="1"/>
  <c r="Y1113" i="2" s="1"/>
  <c r="AJ1113" i="2"/>
  <c r="W1075" i="2"/>
  <c r="X1075" i="2" s="1"/>
  <c r="Y1075" i="2" s="1"/>
  <c r="AJ1075" i="2"/>
  <c r="AJ1033" i="2"/>
  <c r="W1033" i="2"/>
  <c r="X1033" i="2" s="1"/>
  <c r="Y1033" i="2" s="1"/>
  <c r="AJ983" i="2"/>
  <c r="AK983" i="2" s="1"/>
  <c r="AK976" i="2"/>
  <c r="AJ935" i="2"/>
  <c r="W935" i="2"/>
  <c r="X935" i="2" s="1"/>
  <c r="Y935" i="2" s="1"/>
  <c r="AK934" i="2"/>
  <c r="AJ865" i="2"/>
  <c r="AK865" i="2" s="1"/>
  <c r="AJ877" i="2"/>
  <c r="AK877" i="2" s="1"/>
  <c r="AL877" i="2" s="1"/>
  <c r="AM877" i="2" s="1"/>
  <c r="AO877" i="2" s="1"/>
  <c r="AJ805" i="2"/>
  <c r="AJ829" i="2"/>
  <c r="W829" i="2"/>
  <c r="X829" i="2" s="1"/>
  <c r="Y829" i="2" s="1"/>
  <c r="AJ750" i="2"/>
  <c r="AK750" i="2" s="1"/>
  <c r="AL750" i="2" s="1"/>
  <c r="AM750" i="2" s="1"/>
  <c r="AO750" i="2" s="1"/>
  <c r="W1218" i="2"/>
  <c r="X1218" i="2" s="1"/>
  <c r="Y1218" i="2" s="1"/>
  <c r="AJ1218" i="2"/>
  <c r="Y1194" i="2"/>
  <c r="X1194" i="2"/>
  <c r="AJ1194" i="2"/>
  <c r="AJ1147" i="2"/>
  <c r="W1147" i="2"/>
  <c r="X1147" i="2" s="1"/>
  <c r="Y1147" i="2" s="1"/>
  <c r="X1121" i="2"/>
  <c r="Y1121" i="2" s="1"/>
  <c r="AJ1121" i="2"/>
  <c r="AK1119" i="2"/>
  <c r="AL1119" i="2" s="1"/>
  <c r="AM1119" i="2" s="1"/>
  <c r="AO1119" i="2" s="1"/>
  <c r="AJ1084" i="2"/>
  <c r="AK1084" i="2" s="1"/>
  <c r="AL1084" i="2" s="1"/>
  <c r="AM1084" i="2" s="1"/>
  <c r="AO1084" i="2" s="1"/>
  <c r="AJ1050" i="2"/>
  <c r="AK1050" i="2" s="1"/>
  <c r="AL1050" i="2" s="1"/>
  <c r="AM1050" i="2" s="1"/>
  <c r="AO1050" i="2" s="1"/>
  <c r="AJ1077" i="2"/>
  <c r="AK1077" i="2" s="1"/>
  <c r="AL1077" i="2" s="1"/>
  <c r="AM1077" i="2" s="1"/>
  <c r="AO1077" i="2" s="1"/>
  <c r="AJ1004" i="2"/>
  <c r="AK1004" i="2" s="1"/>
  <c r="AL1004" i="2" s="1"/>
  <c r="AM1004" i="2" s="1"/>
  <c r="AO1004" i="2" s="1"/>
  <c r="AJ984" i="2"/>
  <c r="W984" i="2"/>
  <c r="X984" i="2" s="1"/>
  <c r="Y984" i="2" s="1"/>
  <c r="AJ978" i="2"/>
  <c r="AK978" i="2" s="1"/>
  <c r="AL978" i="2" s="1"/>
  <c r="AM978" i="2" s="1"/>
  <c r="AO978" i="2" s="1"/>
  <c r="AK941" i="2"/>
  <c r="AL941" i="2" s="1"/>
  <c r="AM941" i="2" s="1"/>
  <c r="AO941" i="2" s="1"/>
  <c r="AJ887" i="2"/>
  <c r="W887" i="2"/>
  <c r="X887" i="2" s="1"/>
  <c r="Y887" i="2" s="1"/>
  <c r="AK855" i="2"/>
  <c r="AL855" i="2" s="1"/>
  <c r="AM855" i="2" s="1"/>
  <c r="AO855" i="2" s="1"/>
  <c r="AJ757" i="2"/>
  <c r="AK757" i="2" s="1"/>
  <c r="AL757" i="2" s="1"/>
  <c r="AM757" i="2" s="1"/>
  <c r="AO757" i="2" s="1"/>
  <c r="AK793" i="2"/>
  <c r="AL793" i="2" s="1"/>
  <c r="AM793" i="2" s="1"/>
  <c r="AO793" i="2" s="1"/>
  <c r="AJ679" i="2"/>
  <c r="W679" i="2"/>
  <c r="X679" i="2" s="1"/>
  <c r="Y679" i="2" s="1"/>
  <c r="AK679" i="2" s="1"/>
  <c r="AL679" i="2" s="1"/>
  <c r="AM679" i="2" s="1"/>
  <c r="AO679" i="2" s="1"/>
  <c r="AJ418" i="2"/>
  <c r="AK418" i="2" s="1"/>
  <c r="AL418" i="2" s="1"/>
  <c r="AM418" i="2" s="1"/>
  <c r="AO418" i="2" s="1"/>
  <c r="Y1331" i="2"/>
  <c r="X1331" i="2"/>
  <c r="AJ1331" i="2"/>
  <c r="AL1302" i="2"/>
  <c r="AM1302" i="2" s="1"/>
  <c r="AO1302" i="2" s="1"/>
  <c r="AJ1260" i="2"/>
  <c r="W1331" i="2"/>
  <c r="AK1320" i="2"/>
  <c r="AL1320" i="2" s="1"/>
  <c r="AM1320" i="2" s="1"/>
  <c r="AO1320" i="2" s="1"/>
  <c r="AK1295" i="2"/>
  <c r="AL1295" i="2" s="1"/>
  <c r="AM1295" i="2" s="1"/>
  <c r="AO1295" i="2" s="1"/>
  <c r="AJ1263" i="2"/>
  <c r="W1263" i="2"/>
  <c r="X1263" i="2" s="1"/>
  <c r="Y1263" i="2" s="1"/>
  <c r="AK1232" i="2"/>
  <c r="AL1232" i="2" s="1"/>
  <c r="AM1232" i="2" s="1"/>
  <c r="AJ1161" i="2"/>
  <c r="W1161" i="2"/>
  <c r="X1161" i="2" s="1"/>
  <c r="Y1161" i="2" s="1"/>
  <c r="X1162" i="2"/>
  <c r="Y1162" i="2" s="1"/>
  <c r="AJ1162" i="2"/>
  <c r="W1100" i="2"/>
  <c r="X1100" i="2" s="1"/>
  <c r="Y1100" i="2" s="1"/>
  <c r="AJ1100" i="2"/>
  <c r="W1142" i="2"/>
  <c r="X1142" i="2" s="1"/>
  <c r="Y1142" i="2" s="1"/>
  <c r="AJ1142" i="2"/>
  <c r="AK1030" i="2"/>
  <c r="AL1030" i="2" s="1"/>
  <c r="AM1030" i="2" s="1"/>
  <c r="AO1030" i="2" s="1"/>
  <c r="AJ836" i="2"/>
  <c r="W836" i="2"/>
  <c r="X836" i="2" s="1"/>
  <c r="Y836" i="2" s="1"/>
  <c r="AJ680" i="2"/>
  <c r="W680" i="2"/>
  <c r="X680" i="2" s="1"/>
  <c r="Y680" i="2" s="1"/>
  <c r="AN289" i="2"/>
  <c r="AO289" i="2" s="1"/>
  <c r="AK216" i="2"/>
  <c r="AL216" i="2" s="1"/>
  <c r="AM216" i="2" s="1"/>
  <c r="AK1328" i="2"/>
  <c r="AL1328" i="2" s="1"/>
  <c r="AM1328" i="2" s="1"/>
  <c r="AO1328" i="2" s="1"/>
  <c r="AK1291" i="2"/>
  <c r="AL1291" i="2" s="1"/>
  <c r="AM1291" i="2" s="1"/>
  <c r="AO1291" i="2" s="1"/>
  <c r="AJ1253" i="2"/>
  <c r="W1294" i="2"/>
  <c r="X1294" i="2" s="1"/>
  <c r="Y1294" i="2" s="1"/>
  <c r="AK1294" i="2" s="1"/>
  <c r="AL1294" i="2" s="1"/>
  <c r="AM1294" i="2" s="1"/>
  <c r="AO1294" i="2" s="1"/>
  <c r="X1196" i="2"/>
  <c r="Y1196" i="2" s="1"/>
  <c r="AJ1196" i="2"/>
  <c r="W1210" i="2"/>
  <c r="X1210" i="2" s="1"/>
  <c r="Y1210" i="2" s="1"/>
  <c r="AJ1210" i="2"/>
  <c r="AJ1110" i="2"/>
  <c r="W1110" i="2"/>
  <c r="X1110" i="2" s="1"/>
  <c r="Y1110" i="2" s="1"/>
  <c r="AJ1032" i="2"/>
  <c r="AK1032" i="2" s="1"/>
  <c r="AL1032" i="2" s="1"/>
  <c r="AM1032" i="2" s="1"/>
  <c r="AO1032" i="2" s="1"/>
  <c r="AK1080" i="2"/>
  <c r="AL1080" i="2" s="1"/>
  <c r="AM1080" i="2" s="1"/>
  <c r="AO1080" i="2" s="1"/>
  <c r="AJ939" i="2"/>
  <c r="AK939" i="2" s="1"/>
  <c r="AL939" i="2" s="1"/>
  <c r="AM939" i="2" s="1"/>
  <c r="AO939" i="2" s="1"/>
  <c r="W774" i="2"/>
  <c r="X774" i="2" s="1"/>
  <c r="Y774" i="2" s="1"/>
  <c r="AJ774" i="2"/>
  <c r="X1315" i="2"/>
  <c r="Y1315" i="2" s="1"/>
  <c r="AJ1315" i="2"/>
  <c r="X1267" i="2"/>
  <c r="Y1267" i="2" s="1"/>
  <c r="AJ1267" i="2"/>
  <c r="AK1341" i="2"/>
  <c r="AL1341" i="2" s="1"/>
  <c r="AM1341" i="2" s="1"/>
  <c r="AO1341" i="2" s="1"/>
  <c r="AL1247" i="2"/>
  <c r="AM1247" i="2" s="1"/>
  <c r="AJ1209" i="2"/>
  <c r="W1209" i="2"/>
  <c r="X1209" i="2" s="1"/>
  <c r="Y1209" i="2" s="1"/>
  <c r="AK1160" i="2"/>
  <c r="AL1160" i="2" s="1"/>
  <c r="AM1160" i="2" s="1"/>
  <c r="AO1160" i="2" s="1"/>
  <c r="W1117" i="2"/>
  <c r="X1117" i="2" s="1"/>
  <c r="Y1117" i="2" s="1"/>
  <c r="AJ1117" i="2"/>
  <c r="AJ1106" i="2"/>
  <c r="AK1106" i="2" s="1"/>
  <c r="AJ1101" i="2"/>
  <c r="W1101" i="2"/>
  <c r="X1101" i="2" s="1"/>
  <c r="Y1101" i="2" s="1"/>
  <c r="X1175" i="2"/>
  <c r="Y1175" i="2" s="1"/>
  <c r="AJ1175" i="2"/>
  <c r="AJ1103" i="2"/>
  <c r="X1103" i="2"/>
  <c r="Y1103" i="2" s="1"/>
  <c r="AJ1071" i="2"/>
  <c r="AK1071" i="2" s="1"/>
  <c r="AL1071" i="2" s="1"/>
  <c r="AM1071" i="2" s="1"/>
  <c r="AO1071" i="2" s="1"/>
  <c r="AJ1029" i="2"/>
  <c r="AK1029" i="2" s="1"/>
  <c r="AL1029" i="2" s="1"/>
  <c r="AM1029" i="2" s="1"/>
  <c r="AO1029" i="2" s="1"/>
  <c r="AJ990" i="2"/>
  <c r="AK990" i="2" s="1"/>
  <c r="AL990" i="2" s="1"/>
  <c r="AM990" i="2" s="1"/>
  <c r="AO990" i="2" s="1"/>
  <c r="AJ999" i="2"/>
  <c r="AK999" i="2" s="1"/>
  <c r="AL999" i="2" s="1"/>
  <c r="AM999" i="2" s="1"/>
  <c r="AO999" i="2" s="1"/>
  <c r="AJ957" i="2"/>
  <c r="W957" i="2"/>
  <c r="X957" i="2" s="1"/>
  <c r="Y957" i="2" s="1"/>
  <c r="W904" i="2"/>
  <c r="X904" i="2" s="1"/>
  <c r="Y904" i="2" s="1"/>
  <c r="AJ904" i="2"/>
  <c r="AK943" i="2"/>
  <c r="AL943" i="2" s="1"/>
  <c r="AM943" i="2" s="1"/>
  <c r="AO943" i="2" s="1"/>
  <c r="AK906" i="2"/>
  <c r="AL906" i="2" s="1"/>
  <c r="AM906" i="2" s="1"/>
  <c r="AK791" i="2"/>
  <c r="AL791" i="2" s="1"/>
  <c r="AM791" i="2" s="1"/>
  <c r="AO791" i="2" s="1"/>
  <c r="W825" i="2"/>
  <c r="X825" i="2" s="1"/>
  <c r="Y825" i="2" s="1"/>
  <c r="AJ825" i="2"/>
  <c r="AK827" i="2"/>
  <c r="AL827" i="2" s="1"/>
  <c r="AM827" i="2" s="1"/>
  <c r="AO827" i="2" s="1"/>
  <c r="AJ807" i="2"/>
  <c r="AK807" i="2" s="1"/>
  <c r="AL807" i="2" s="1"/>
  <c r="AM807" i="2" s="1"/>
  <c r="AO807" i="2" s="1"/>
  <c r="AJ837" i="2"/>
  <c r="AK837" i="2" s="1"/>
  <c r="AL837" i="2" s="1"/>
  <c r="AM837" i="2" s="1"/>
  <c r="AJ790" i="2"/>
  <c r="W790" i="2"/>
  <c r="X790" i="2" s="1"/>
  <c r="Y790" i="2" s="1"/>
  <c r="AK711" i="2"/>
  <c r="AL711" i="2" s="1"/>
  <c r="AM711" i="2" s="1"/>
  <c r="AO711" i="2" s="1"/>
  <c r="AK739" i="2"/>
  <c r="AL739" i="2" s="1"/>
  <c r="AM739" i="2" s="1"/>
  <c r="AO739" i="2" s="1"/>
  <c r="AJ617" i="2"/>
  <c r="AK617" i="2" s="1"/>
  <c r="AL617" i="2" s="1"/>
  <c r="AM617" i="2" s="1"/>
  <c r="AO617" i="2" s="1"/>
  <c r="AJ1299" i="2"/>
  <c r="AO1297" i="2"/>
  <c r="AJ1303" i="2"/>
  <c r="X1303" i="2"/>
  <c r="Y1303" i="2" s="1"/>
  <c r="AJ1329" i="2"/>
  <c r="AK1329" i="2" s="1"/>
  <c r="AL1329" i="2" s="1"/>
  <c r="AM1329" i="2" s="1"/>
  <c r="AO1329" i="2" s="1"/>
  <c r="AK1245" i="2"/>
  <c r="AL1245" i="2" s="1"/>
  <c r="AM1245" i="2" s="1"/>
  <c r="AO1245" i="2" s="1"/>
  <c r="AL1203" i="2"/>
  <c r="AM1203" i="2" s="1"/>
  <c r="AN1203" i="2" s="1"/>
  <c r="X1178" i="2"/>
  <c r="Y1178" i="2" s="1"/>
  <c r="AJ1178" i="2"/>
  <c r="AJ1159" i="2"/>
  <c r="AK1159" i="2" s="1"/>
  <c r="AL1159" i="2" s="1"/>
  <c r="AM1159" i="2" s="1"/>
  <c r="AL1192" i="2"/>
  <c r="AM1192" i="2" s="1"/>
  <c r="W1171" i="2"/>
  <c r="X1171" i="2" s="1"/>
  <c r="Y1171" i="2" s="1"/>
  <c r="AJ1171" i="2"/>
  <c r="AJ1074" i="2"/>
  <c r="AK1074" i="2" s="1"/>
  <c r="AL1074" i="2" s="1"/>
  <c r="AM1074" i="2" s="1"/>
  <c r="AO1074" i="2" s="1"/>
  <c r="AJ1102" i="2"/>
  <c r="AK1102" i="2" s="1"/>
  <c r="AL1102" i="2" s="1"/>
  <c r="AM1102" i="2" s="1"/>
  <c r="AK1125" i="2"/>
  <c r="AL1125" i="2" s="1"/>
  <c r="AM1125" i="2" s="1"/>
  <c r="AO1125" i="2" s="1"/>
  <c r="AJ1093" i="2"/>
  <c r="W1093" i="2"/>
  <c r="X1093" i="2" s="1"/>
  <c r="Y1093" i="2" s="1"/>
  <c r="AK1139" i="2"/>
  <c r="AL1139" i="2" s="1"/>
  <c r="AM1139" i="2" s="1"/>
  <c r="AO1139" i="2" s="1"/>
  <c r="AK954" i="2"/>
  <c r="AL954" i="2" s="1"/>
  <c r="AM954" i="2" s="1"/>
  <c r="AO954" i="2" s="1"/>
  <c r="AK862" i="2"/>
  <c r="AJ816" i="2"/>
  <c r="W816" i="2"/>
  <c r="X816" i="2" s="1"/>
  <c r="Y816" i="2" s="1"/>
  <c r="AK816" i="2" s="1"/>
  <c r="AJ697" i="2"/>
  <c r="W697" i="2"/>
  <c r="X697" i="2" s="1"/>
  <c r="Y697" i="2" s="1"/>
  <c r="X1283" i="2"/>
  <c r="Y1283" i="2" s="1"/>
  <c r="AJ1283" i="2"/>
  <c r="AK1325" i="2"/>
  <c r="AL1325" i="2" s="1"/>
  <c r="AM1325" i="2" s="1"/>
  <c r="AO1325" i="2" s="1"/>
  <c r="W1251" i="2"/>
  <c r="X1251" i="2" s="1"/>
  <c r="Y1251" i="2" s="1"/>
  <c r="AJ1251" i="2"/>
  <c r="W1180" i="2"/>
  <c r="X1180" i="2" s="1"/>
  <c r="Y1180" i="2" s="1"/>
  <c r="AJ1180" i="2"/>
  <c r="AJ1228" i="2"/>
  <c r="X1228" i="2"/>
  <c r="Y1228" i="2" s="1"/>
  <c r="AK1201" i="2"/>
  <c r="W1164" i="2"/>
  <c r="X1164" i="2" s="1"/>
  <c r="Y1164" i="2" s="1"/>
  <c r="AJ1164" i="2"/>
  <c r="X1191" i="2"/>
  <c r="Y1191" i="2" s="1"/>
  <c r="AJ1191" i="2"/>
  <c r="AJ1137" i="2"/>
  <c r="X1137" i="2"/>
  <c r="Y1137" i="2" s="1"/>
  <c r="AK1137" i="2" s="1"/>
  <c r="AL1137" i="2" s="1"/>
  <c r="AM1137" i="2" s="1"/>
  <c r="AO1137" i="2" s="1"/>
  <c r="AJ1092" i="2"/>
  <c r="AK1092" i="2" s="1"/>
  <c r="AJ1063" i="2"/>
  <c r="W1063" i="2"/>
  <c r="X1063" i="2" s="1"/>
  <c r="Y1063" i="2" s="1"/>
  <c r="AK1073" i="2"/>
  <c r="AL1073" i="2" s="1"/>
  <c r="AM1073" i="2" s="1"/>
  <c r="AO1073" i="2" s="1"/>
  <c r="AJ1082" i="2"/>
  <c r="W1082" i="2"/>
  <c r="X1082" i="2" s="1"/>
  <c r="Y1082" i="2" s="1"/>
  <c r="AJ1085" i="2"/>
  <c r="X1085" i="2"/>
  <c r="Y1085" i="2" s="1"/>
  <c r="AJ1013" i="2"/>
  <c r="W1013" i="2"/>
  <c r="X1013" i="2" s="1"/>
  <c r="Y1013" i="2" s="1"/>
  <c r="AJ815" i="2"/>
  <c r="Y815" i="2"/>
  <c r="X815" i="2"/>
  <c r="W815" i="2"/>
  <c r="AJ706" i="2"/>
  <c r="AK706" i="2" s="1"/>
  <c r="AL706" i="2" s="1"/>
  <c r="AM706" i="2" s="1"/>
  <c r="AO706" i="2" s="1"/>
  <c r="AJ667" i="2"/>
  <c r="AK667" i="2" s="1"/>
  <c r="AJ646" i="2"/>
  <c r="AK646" i="2" s="1"/>
  <c r="AJ594" i="2"/>
  <c r="AK594" i="2" s="1"/>
  <c r="AL594" i="2" s="1"/>
  <c r="AM594" i="2" s="1"/>
  <c r="AO594" i="2" s="1"/>
  <c r="AJ601" i="2"/>
  <c r="W601" i="2"/>
  <c r="X601" i="2" s="1"/>
  <c r="Y601" i="2" s="1"/>
  <c r="AK1312" i="2"/>
  <c r="AL1312" i="2" s="1"/>
  <c r="AM1312" i="2" s="1"/>
  <c r="AO1312" i="2" s="1"/>
  <c r="AK1336" i="2"/>
  <c r="AL1336" i="2" s="1"/>
  <c r="AM1336" i="2" s="1"/>
  <c r="AO1336" i="2" s="1"/>
  <c r="X1227" i="2"/>
  <c r="Y1227" i="2" s="1"/>
  <c r="AJ1227" i="2"/>
  <c r="AJ1235" i="2"/>
  <c r="AK1235" i="2" s="1"/>
  <c r="AL1235" i="2" s="1"/>
  <c r="AM1235" i="2" s="1"/>
  <c r="X1206" i="2"/>
  <c r="Y1206" i="2" s="1"/>
  <c r="AJ1206" i="2"/>
  <c r="W1260" i="2"/>
  <c r="X1260" i="2" s="1"/>
  <c r="Y1260" i="2" s="1"/>
  <c r="AJ1098" i="2"/>
  <c r="X1098" i="2"/>
  <c r="Y1098" i="2" s="1"/>
  <c r="AJ1122" i="2"/>
  <c r="AK1122" i="2" s="1"/>
  <c r="AL1122" i="2" s="1"/>
  <c r="AM1122" i="2" s="1"/>
  <c r="AO1122" i="2" s="1"/>
  <c r="AJ1244" i="2"/>
  <c r="Y1244" i="2"/>
  <c r="X1244" i="2"/>
  <c r="AK1111" i="2"/>
  <c r="AL1111" i="2" s="1"/>
  <c r="AM1111" i="2" s="1"/>
  <c r="AJ1044" i="2"/>
  <c r="AK1044" i="2" s="1"/>
  <c r="AL1044" i="2" s="1"/>
  <c r="AM1044" i="2" s="1"/>
  <c r="AO1044" i="2" s="1"/>
  <c r="AK925" i="2"/>
  <c r="AL925" i="2" s="1"/>
  <c r="AM925" i="2" s="1"/>
  <c r="AO925" i="2" s="1"/>
  <c r="W880" i="2"/>
  <c r="X880" i="2" s="1"/>
  <c r="Y880" i="2" s="1"/>
  <c r="AJ880" i="2"/>
  <c r="AK905" i="2"/>
  <c r="AL905" i="2" s="1"/>
  <c r="AM905" i="2" s="1"/>
  <c r="AO905" i="2" s="1"/>
  <c r="AJ886" i="2"/>
  <c r="AK886" i="2" s="1"/>
  <c r="AL886" i="2" s="1"/>
  <c r="AM886" i="2" s="1"/>
  <c r="AO886" i="2" s="1"/>
  <c r="AK885" i="2"/>
  <c r="AL885" i="2" s="1"/>
  <c r="AM885" i="2" s="1"/>
  <c r="AO885" i="2" s="1"/>
  <c r="AJ482" i="2"/>
  <c r="AK482" i="2" s="1"/>
  <c r="AL482" i="2" s="1"/>
  <c r="AM482" i="2" s="1"/>
  <c r="AO482" i="2" s="1"/>
  <c r="AJ536" i="2"/>
  <c r="W536" i="2"/>
  <c r="X536" i="2" s="1"/>
  <c r="Y536" i="2" s="1"/>
  <c r="W1278" i="2"/>
  <c r="X1278" i="2" s="1"/>
  <c r="Y1278" i="2" s="1"/>
  <c r="AJ1278" i="2"/>
  <c r="X1205" i="2"/>
  <c r="Y1205" i="2" s="1"/>
  <c r="AJ1205" i="2"/>
  <c r="AK1200" i="2"/>
  <c r="AL1200" i="2" s="1"/>
  <c r="AM1200" i="2" s="1"/>
  <c r="AO1200" i="2" s="1"/>
  <c r="AL1081" i="2"/>
  <c r="AM1081" i="2" s="1"/>
  <c r="AO1081" i="2" s="1"/>
  <c r="AJ963" i="2"/>
  <c r="AK963" i="2" s="1"/>
  <c r="AL963" i="2" s="1"/>
  <c r="AM963" i="2" s="1"/>
  <c r="AO963" i="2" s="1"/>
  <c r="AJ979" i="2"/>
  <c r="AK979" i="2" s="1"/>
  <c r="AJ961" i="2"/>
  <c r="W961" i="2"/>
  <c r="X961" i="2" s="1"/>
  <c r="Y961" i="2" s="1"/>
  <c r="AK961" i="2" s="1"/>
  <c r="AL961" i="2" s="1"/>
  <c r="AM961" i="2" s="1"/>
  <c r="AO961" i="2" s="1"/>
  <c r="AJ895" i="2"/>
  <c r="W895" i="2"/>
  <c r="X895" i="2" s="1"/>
  <c r="Y895" i="2" s="1"/>
  <c r="AK866" i="2"/>
  <c r="AJ854" i="2"/>
  <c r="W854" i="2"/>
  <c r="X854" i="2" s="1"/>
  <c r="Y854" i="2" s="1"/>
  <c r="AK669" i="2"/>
  <c r="AK592" i="2"/>
  <c r="AL592" i="2" s="1"/>
  <c r="AM592" i="2" s="1"/>
  <c r="AO592" i="2" s="1"/>
  <c r="AJ481" i="2"/>
  <c r="W481" i="2"/>
  <c r="X481" i="2" s="1"/>
  <c r="Y481" i="2" s="1"/>
  <c r="X1310" i="2"/>
  <c r="Y1310" i="2" s="1"/>
  <c r="AJ1310" i="2"/>
  <c r="AJ1335" i="2"/>
  <c r="X1335" i="2"/>
  <c r="Y1335" i="2" s="1"/>
  <c r="AK1281" i="2"/>
  <c r="AL1281" i="2" s="1"/>
  <c r="AM1281" i="2" s="1"/>
  <c r="AO1281" i="2" s="1"/>
  <c r="W1299" i="2"/>
  <c r="X1299" i="2" s="1"/>
  <c r="Y1299" i="2" s="1"/>
  <c r="AL1254" i="2"/>
  <c r="AM1254" i="2" s="1"/>
  <c r="AO1254" i="2" s="1"/>
  <c r="AL1094" i="2"/>
  <c r="AM1094" i="2" s="1"/>
  <c r="AN1094" i="2" s="1"/>
  <c r="AL1110" i="2"/>
  <c r="AM1110" i="2" s="1"/>
  <c r="AK1141" i="2"/>
  <c r="AL1141" i="2" s="1"/>
  <c r="AM1141" i="2" s="1"/>
  <c r="AN1141" i="2" s="1"/>
  <c r="AJ1079" i="2"/>
  <c r="AK1079" i="2" s="1"/>
  <c r="AL1079" i="2" s="1"/>
  <c r="AM1079" i="2" s="1"/>
  <c r="AO1079" i="2" s="1"/>
  <c r="X1058" i="2"/>
  <c r="Y1058" i="2" s="1"/>
  <c r="AJ1058" i="2"/>
  <c r="AJ1069" i="2"/>
  <c r="W1069" i="2"/>
  <c r="X1069" i="2" s="1"/>
  <c r="Y1069" i="2" s="1"/>
  <c r="AJ1008" i="2"/>
  <c r="W1008" i="2"/>
  <c r="X1008" i="2" s="1"/>
  <c r="Y1008" i="2" s="1"/>
  <c r="AJ917" i="2"/>
  <c r="Y917" i="2"/>
  <c r="W917" i="2"/>
  <c r="X917" i="2"/>
  <c r="AN878" i="2"/>
  <c r="AO878" i="2" s="1"/>
  <c r="AJ852" i="2"/>
  <c r="W852" i="2"/>
  <c r="X852" i="2" s="1"/>
  <c r="Y852" i="2" s="1"/>
  <c r="AK701" i="2"/>
  <c r="AL701" i="2" s="1"/>
  <c r="AM701" i="2" s="1"/>
  <c r="AO701" i="2" s="1"/>
  <c r="AK427" i="2"/>
  <c r="AL427" i="2" s="1"/>
  <c r="AM427" i="2" s="1"/>
  <c r="AO427" i="2" s="1"/>
  <c r="AL1311" i="2"/>
  <c r="AM1311" i="2" s="1"/>
  <c r="AO1311" i="2" s="1"/>
  <c r="AJ1237" i="2"/>
  <c r="X1237" i="2"/>
  <c r="Y1237" i="2" s="1"/>
  <c r="AJ1319" i="2"/>
  <c r="X1319" i="2"/>
  <c r="Y1319" i="2" s="1"/>
  <c r="W1285" i="2"/>
  <c r="X1285" i="2" s="1"/>
  <c r="Y1285" i="2" s="1"/>
  <c r="AJ1285" i="2"/>
  <c r="W1253" i="2"/>
  <c r="X1253" i="2" s="1"/>
  <c r="Y1253" i="2" s="1"/>
  <c r="AJ1262" i="2"/>
  <c r="X1262" i="2"/>
  <c r="Y1262" i="2" s="1"/>
  <c r="W1193" i="2"/>
  <c r="X1193" i="2" s="1"/>
  <c r="Y1193" i="2" s="1"/>
  <c r="AJ1152" i="2"/>
  <c r="W1152" i="2"/>
  <c r="X1152" i="2" s="1"/>
  <c r="Y1152" i="2" s="1"/>
  <c r="AJ1090" i="2"/>
  <c r="AK1090" i="2" s="1"/>
  <c r="AJ1088" i="2"/>
  <c r="W1088" i="2"/>
  <c r="X1088" i="2" s="1"/>
  <c r="Y1088" i="2" s="1"/>
  <c r="W1095" i="2"/>
  <c r="X1095" i="2" s="1"/>
  <c r="Y1095" i="2" s="1"/>
  <c r="AJ1095" i="2"/>
  <c r="AJ1031" i="2"/>
  <c r="AK1031" i="2" s="1"/>
  <c r="AL1031" i="2" s="1"/>
  <c r="AM1031" i="2" s="1"/>
  <c r="AO1031" i="2" s="1"/>
  <c r="AK1041" i="2"/>
  <c r="AJ1065" i="2"/>
  <c r="W1065" i="2"/>
  <c r="X1065" i="2" s="1"/>
  <c r="Y1065" i="2" s="1"/>
  <c r="AJ1097" i="2"/>
  <c r="AK1097" i="2" s="1"/>
  <c r="AJ1015" i="2"/>
  <c r="AK1015" i="2" s="1"/>
  <c r="AL1015" i="2" s="1"/>
  <c r="AM1015" i="2" s="1"/>
  <c r="AO1015" i="2" s="1"/>
  <c r="AK1016" i="2"/>
  <c r="AL1016" i="2" s="1"/>
  <c r="AM1016" i="2" s="1"/>
  <c r="AO1016" i="2" s="1"/>
  <c r="AJ998" i="2"/>
  <c r="W998" i="2"/>
  <c r="X998" i="2" s="1"/>
  <c r="Y998" i="2" s="1"/>
  <c r="AK998" i="2" s="1"/>
  <c r="AL998" i="2" s="1"/>
  <c r="AM998" i="2" s="1"/>
  <c r="AO998" i="2" s="1"/>
  <c r="AK1002" i="2"/>
  <c r="AL1002" i="2" s="1"/>
  <c r="AM1002" i="2" s="1"/>
  <c r="AO1002" i="2" s="1"/>
  <c r="W930" i="2"/>
  <c r="X930" i="2" s="1"/>
  <c r="Y930" i="2" s="1"/>
  <c r="AJ930" i="2"/>
  <c r="AJ975" i="2"/>
  <c r="W975" i="2"/>
  <c r="X975" i="2" s="1"/>
  <c r="Y975" i="2" s="1"/>
  <c r="AK801" i="2"/>
  <c r="AL801" i="2" s="1"/>
  <c r="AM801" i="2" s="1"/>
  <c r="AO801" i="2" s="1"/>
  <c r="AK777" i="2"/>
  <c r="AL777" i="2" s="1"/>
  <c r="AM777" i="2" s="1"/>
  <c r="AO777" i="2" s="1"/>
  <c r="AJ686" i="2"/>
  <c r="W686" i="2"/>
  <c r="X686" i="2" s="1"/>
  <c r="Y686" i="2" s="1"/>
  <c r="AK729" i="2"/>
  <c r="AL729" i="2" s="1"/>
  <c r="AM729" i="2" s="1"/>
  <c r="AO729" i="2" s="1"/>
  <c r="AJ555" i="2"/>
  <c r="AK555" i="2" s="1"/>
  <c r="AL555" i="2" s="1"/>
  <c r="AM555" i="2" s="1"/>
  <c r="AO555" i="2" s="1"/>
  <c r="AK468" i="2"/>
  <c r="AL468" i="2" s="1"/>
  <c r="AM468" i="2" s="1"/>
  <c r="AO468" i="2" s="1"/>
  <c r="AJ457" i="2"/>
  <c r="AK457" i="2" s="1"/>
  <c r="AL457" i="2" s="1"/>
  <c r="AM457" i="2" s="1"/>
  <c r="AO457" i="2" s="1"/>
  <c r="AN19" i="2"/>
  <c r="AO19" i="2" s="1"/>
  <c r="AJ1028" i="2"/>
  <c r="AJ995" i="2"/>
  <c r="AK995" i="2" s="1"/>
  <c r="AL995" i="2" s="1"/>
  <c r="AM995" i="2" s="1"/>
  <c r="AO995" i="2" s="1"/>
  <c r="AK920" i="2"/>
  <c r="AL920" i="2" s="1"/>
  <c r="AM920" i="2" s="1"/>
  <c r="AO920" i="2" s="1"/>
  <c r="X835" i="2"/>
  <c r="Y835" i="2" s="1"/>
  <c r="AJ835" i="2"/>
  <c r="AJ784" i="2"/>
  <c r="AJ736" i="2"/>
  <c r="AK736" i="2" s="1"/>
  <c r="AL736" i="2" s="1"/>
  <c r="AM736" i="2" s="1"/>
  <c r="AO736" i="2" s="1"/>
  <c r="AJ781" i="2"/>
  <c r="AJ742" i="2"/>
  <c r="AK742" i="2" s="1"/>
  <c r="AL742" i="2" s="1"/>
  <c r="AM742" i="2" s="1"/>
  <c r="AO742" i="2" s="1"/>
  <c r="AJ738" i="2"/>
  <c r="AK738" i="2" s="1"/>
  <c r="AL738" i="2" s="1"/>
  <c r="AM738" i="2" s="1"/>
  <c r="AO738" i="2" s="1"/>
  <c r="AJ716" i="2"/>
  <c r="X716" i="2"/>
  <c r="Y716" i="2" s="1"/>
  <c r="AJ659" i="2"/>
  <c r="AJ760" i="2"/>
  <c r="AK760" i="2" s="1"/>
  <c r="AL760" i="2" s="1"/>
  <c r="AM760" i="2" s="1"/>
  <c r="AO760" i="2" s="1"/>
  <c r="W593" i="2"/>
  <c r="X593" i="2" s="1"/>
  <c r="Y593" i="2" s="1"/>
  <c r="AJ593" i="2"/>
  <c r="AK640" i="2"/>
  <c r="AL640" i="2" s="1"/>
  <c r="AM640" i="2" s="1"/>
  <c r="AO640" i="2" s="1"/>
  <c r="AJ654" i="2"/>
  <c r="W654" i="2"/>
  <c r="X654" i="2" s="1"/>
  <c r="Y654" i="2" s="1"/>
  <c r="AJ415" i="2"/>
  <c r="AJ393" i="2"/>
  <c r="AK393" i="2" s="1"/>
  <c r="AJ344" i="2"/>
  <c r="AN208" i="2"/>
  <c r="AO208" i="2" s="1"/>
  <c r="AJ233" i="2"/>
  <c r="W233" i="2"/>
  <c r="X233" i="2" s="1"/>
  <c r="Y233" i="2" s="1"/>
  <c r="AJ228" i="2"/>
  <c r="X228" i="2"/>
  <c r="Y228" i="2" s="1"/>
  <c r="AJ46" i="2"/>
  <c r="AK60" i="2"/>
  <c r="AL60" i="2" s="1"/>
  <c r="AM60" i="2" s="1"/>
  <c r="AO60" i="2" s="1"/>
  <c r="AJ863" i="2"/>
  <c r="AJ861" i="2"/>
  <c r="W861" i="2"/>
  <c r="X861" i="2" s="1"/>
  <c r="Y861" i="2" s="1"/>
  <c r="AK861" i="2" s="1"/>
  <c r="AK787" i="2"/>
  <c r="AL787" i="2" s="1"/>
  <c r="AM787" i="2" s="1"/>
  <c r="AO787" i="2" s="1"/>
  <c r="X797" i="2"/>
  <c r="Y797" i="2" s="1"/>
  <c r="AJ797" i="2"/>
  <c r="W735" i="2"/>
  <c r="X735" i="2" s="1"/>
  <c r="Y735" i="2" s="1"/>
  <c r="AJ735" i="2"/>
  <c r="AJ714" i="2"/>
  <c r="X561" i="2"/>
  <c r="Y561" i="2" s="1"/>
  <c r="AJ561" i="2"/>
  <c r="W561" i="2"/>
  <c r="AJ455" i="2"/>
  <c r="W455" i="2"/>
  <c r="X455" i="2" s="1"/>
  <c r="Y455" i="2" s="1"/>
  <c r="AJ412" i="2"/>
  <c r="AK412" i="2" s="1"/>
  <c r="AJ371" i="2"/>
  <c r="W371" i="2"/>
  <c r="X371" i="2" s="1"/>
  <c r="Y371" i="2" s="1"/>
  <c r="AJ341" i="2"/>
  <c r="W341" i="2"/>
  <c r="X341" i="2" s="1"/>
  <c r="Y341" i="2" s="1"/>
  <c r="AJ279" i="2"/>
  <c r="W279" i="2"/>
  <c r="X279" i="2" s="1"/>
  <c r="Y279" i="2" s="1"/>
  <c r="AJ349" i="2"/>
  <c r="AK349" i="2" s="1"/>
  <c r="AJ265" i="2"/>
  <c r="W265" i="2"/>
  <c r="X265" i="2" s="1"/>
  <c r="Y265" i="2" s="1"/>
  <c r="AJ311" i="2"/>
  <c r="W311" i="2"/>
  <c r="X311" i="2" s="1"/>
  <c r="Y311" i="2" s="1"/>
  <c r="AK354" i="2"/>
  <c r="AL179" i="2"/>
  <c r="AM179" i="2" s="1"/>
  <c r="AN179" i="2" s="1"/>
  <c r="AJ186" i="2"/>
  <c r="AK186" i="2" s="1"/>
  <c r="AL186" i="2" s="1"/>
  <c r="AM186" i="2" s="1"/>
  <c r="AN186" i="2" s="1"/>
  <c r="W1076" i="2"/>
  <c r="X1076" i="2" s="1"/>
  <c r="Y1076" i="2" s="1"/>
  <c r="AJ1076" i="2"/>
  <c r="AJ1011" i="2"/>
  <c r="W1011" i="2"/>
  <c r="X1011" i="2" s="1"/>
  <c r="Y1011" i="2" s="1"/>
  <c r="AK993" i="2"/>
  <c r="AL993" i="2" s="1"/>
  <c r="AM993" i="2" s="1"/>
  <c r="AO993" i="2" s="1"/>
  <c r="AJ944" i="2"/>
  <c r="W944" i="2"/>
  <c r="X944" i="2" s="1"/>
  <c r="Y944" i="2" s="1"/>
  <c r="X955" i="2"/>
  <c r="Y955" i="2" s="1"/>
  <c r="AJ955" i="2"/>
  <c r="W908" i="2"/>
  <c r="X908" i="2" s="1"/>
  <c r="Y908" i="2" s="1"/>
  <c r="AJ908" i="2"/>
  <c r="W822" i="2"/>
  <c r="X822" i="2" s="1"/>
  <c r="Y822" i="2" s="1"/>
  <c r="AJ822" i="2"/>
  <c r="AO775" i="2"/>
  <c r="AJ796" i="2"/>
  <c r="AK796" i="2" s="1"/>
  <c r="AL796" i="2" s="1"/>
  <c r="AM796" i="2" s="1"/>
  <c r="AO796" i="2" s="1"/>
  <c r="W781" i="2"/>
  <c r="X781" i="2" s="1"/>
  <c r="Y781" i="2" s="1"/>
  <c r="AJ734" i="2"/>
  <c r="X734" i="2"/>
  <c r="Y734" i="2" s="1"/>
  <c r="AK642" i="2"/>
  <c r="AL642" i="2" s="1"/>
  <c r="AM642" i="2" s="1"/>
  <c r="AO642" i="2" s="1"/>
  <c r="AJ591" i="2"/>
  <c r="AK591" i="2" s="1"/>
  <c r="AL591" i="2" s="1"/>
  <c r="AM591" i="2" s="1"/>
  <c r="AO591" i="2" s="1"/>
  <c r="AJ574" i="2"/>
  <c r="AJ486" i="2"/>
  <c r="X586" i="2"/>
  <c r="Y586" i="2" s="1"/>
  <c r="AJ586" i="2"/>
  <c r="AJ326" i="2"/>
  <c r="W326" i="2"/>
  <c r="X326" i="2" s="1"/>
  <c r="Y326" i="2" s="1"/>
  <c r="AK333" i="2"/>
  <c r="W319" i="2"/>
  <c r="X319" i="2" s="1"/>
  <c r="Y319" i="2" s="1"/>
  <c r="AJ319" i="2"/>
  <c r="AJ312" i="2"/>
  <c r="W312" i="2"/>
  <c r="X312" i="2" s="1"/>
  <c r="Y312" i="2" s="1"/>
  <c r="AO180" i="2"/>
  <c r="AL180" i="2"/>
  <c r="AM180" i="2" s="1"/>
  <c r="AJ77" i="2"/>
  <c r="W77" i="2"/>
  <c r="X77" i="2" s="1"/>
  <c r="Y77" i="2" s="1"/>
  <c r="AK137" i="2"/>
  <c r="AL137" i="2" s="1"/>
  <c r="AM137" i="2" s="1"/>
  <c r="AN137" i="2" s="1"/>
  <c r="AJ11" i="2"/>
  <c r="AK214" i="2"/>
  <c r="AL214" i="2" s="1"/>
  <c r="AM214" i="2" s="1"/>
  <c r="AK131" i="2"/>
  <c r="AJ4" i="2"/>
  <c r="AK4" i="2" s="1"/>
  <c r="AJ112" i="2"/>
  <c r="AK112" i="2" s="1"/>
  <c r="AL112" i="2" s="1"/>
  <c r="AM112" i="2" s="1"/>
  <c r="AO112" i="2" s="1"/>
  <c r="AK1099" i="2"/>
  <c r="AJ1120" i="2"/>
  <c r="X1120" i="2"/>
  <c r="Y1120" i="2" s="1"/>
  <c r="AK1062" i="2"/>
  <c r="AL1062" i="2" s="1"/>
  <c r="AM1062" i="2" s="1"/>
  <c r="AO1062" i="2" s="1"/>
  <c r="AJ1042" i="2"/>
  <c r="AK1042" i="2" s="1"/>
  <c r="AL1042" i="2" s="1"/>
  <c r="AM1042" i="2" s="1"/>
  <c r="AO1042" i="2" s="1"/>
  <c r="AL1091" i="2"/>
  <c r="AM1091" i="2" s="1"/>
  <c r="AN1091" i="2" s="1"/>
  <c r="AJ1012" i="2"/>
  <c r="X1012" i="2"/>
  <c r="Y1012" i="2" s="1"/>
  <c r="AJ1010" i="2"/>
  <c r="W1010" i="2"/>
  <c r="X1010" i="2" s="1"/>
  <c r="Y1010" i="2" s="1"/>
  <c r="AK971" i="2"/>
  <c r="AL971" i="2" s="1"/>
  <c r="AM971" i="2" s="1"/>
  <c r="AO971" i="2" s="1"/>
  <c r="W1014" i="2"/>
  <c r="X1014" i="2" s="1"/>
  <c r="Y1014" i="2" s="1"/>
  <c r="AJ1014" i="2"/>
  <c r="X992" i="2"/>
  <c r="Y992" i="2" s="1"/>
  <c r="AJ992" i="2"/>
  <c r="AJ881" i="2"/>
  <c r="AK881" i="2" s="1"/>
  <c r="AL881" i="2" s="1"/>
  <c r="AM881" i="2" s="1"/>
  <c r="AO881" i="2" s="1"/>
  <c r="AL861" i="2"/>
  <c r="AM861" i="2" s="1"/>
  <c r="AK850" i="2"/>
  <c r="AL850" i="2" s="1"/>
  <c r="AM850" i="2" s="1"/>
  <c r="AJ868" i="2"/>
  <c r="W868" i="2"/>
  <c r="X868" i="2" s="1"/>
  <c r="Y868" i="2" s="1"/>
  <c r="W858" i="2"/>
  <c r="X858" i="2" s="1"/>
  <c r="Y858" i="2" s="1"/>
  <c r="AJ858" i="2"/>
  <c r="AJ839" i="2"/>
  <c r="X839" i="2"/>
  <c r="Y839" i="2" s="1"/>
  <c r="AJ780" i="2"/>
  <c r="AK780" i="2" s="1"/>
  <c r="AL780" i="2" s="1"/>
  <c r="AM780" i="2" s="1"/>
  <c r="AO780" i="2" s="1"/>
  <c r="AJ860" i="2"/>
  <c r="W860" i="2"/>
  <c r="X860" i="2" s="1"/>
  <c r="Y860" i="2" s="1"/>
  <c r="AJ683" i="2"/>
  <c r="AK683" i="2" s="1"/>
  <c r="AL683" i="2" s="1"/>
  <c r="AM683" i="2" s="1"/>
  <c r="AO683" i="2" s="1"/>
  <c r="W714" i="2"/>
  <c r="X714" i="2" s="1"/>
  <c r="Y714" i="2" s="1"/>
  <c r="AL662" i="2"/>
  <c r="AM662" i="2" s="1"/>
  <c r="AJ585" i="2"/>
  <c r="W585" i="2"/>
  <c r="X585" i="2" s="1"/>
  <c r="Y585" i="2" s="1"/>
  <c r="X581" i="2"/>
  <c r="Y581" i="2" s="1"/>
  <c r="AJ581" i="2"/>
  <c r="AK458" i="2"/>
  <c r="AL458" i="2" s="1"/>
  <c r="AM458" i="2" s="1"/>
  <c r="AO458" i="2" s="1"/>
  <c r="AO391" i="2"/>
  <c r="AL391" i="2"/>
  <c r="AM391" i="2" s="1"/>
  <c r="X456" i="2"/>
  <c r="Y456" i="2" s="1"/>
  <c r="AJ456" i="2"/>
  <c r="AJ406" i="2"/>
  <c r="W406" i="2"/>
  <c r="X406" i="2" s="1"/>
  <c r="Y406" i="2" s="1"/>
  <c r="AJ342" i="2"/>
  <c r="W342" i="2"/>
  <c r="X342" i="2" s="1"/>
  <c r="Y342" i="2" s="1"/>
  <c r="AJ321" i="2"/>
  <c r="W321" i="2"/>
  <c r="X321" i="2" s="1"/>
  <c r="Y321" i="2" s="1"/>
  <c r="AO309" i="2"/>
  <c r="AL309" i="2"/>
  <c r="AM309" i="2" s="1"/>
  <c r="Y303" i="2"/>
  <c r="X303" i="2"/>
  <c r="W303" i="2"/>
  <c r="AJ303" i="2"/>
  <c r="X310" i="2"/>
  <c r="Y310" i="2" s="1"/>
  <c r="AJ310" i="2"/>
  <c r="AL305" i="2"/>
  <c r="AM305" i="2" s="1"/>
  <c r="AJ65" i="2"/>
  <c r="AK65" i="2" s="1"/>
  <c r="AK258" i="2"/>
  <c r="AL258" i="2" s="1"/>
  <c r="AM258" i="2" s="1"/>
  <c r="AN258" i="2" s="1"/>
  <c r="AK147" i="2"/>
  <c r="AL147" i="2" s="1"/>
  <c r="AM147" i="2" s="1"/>
  <c r="AK63" i="2"/>
  <c r="AL63" i="2" s="1"/>
  <c r="AM63" i="2" s="1"/>
  <c r="AO63" i="2" s="1"/>
  <c r="AK5" i="2"/>
  <c r="W1028" i="2"/>
  <c r="X1028" i="2" s="1"/>
  <c r="Y1028" i="2" s="1"/>
  <c r="W1020" i="2"/>
  <c r="X1020" i="2" s="1"/>
  <c r="Y1020" i="2" s="1"/>
  <c r="AJ1020" i="2"/>
  <c r="AJ968" i="2"/>
  <c r="Y973" i="2"/>
  <c r="X973" i="2"/>
  <c r="AJ973" i="2"/>
  <c r="AL934" i="2"/>
  <c r="AM934" i="2" s="1"/>
  <c r="AO934" i="2" s="1"/>
  <c r="X899" i="2"/>
  <c r="Y899" i="2" s="1"/>
  <c r="AJ899" i="2"/>
  <c r="AJ846" i="2"/>
  <c r="W863" i="2"/>
  <c r="X863" i="2" s="1"/>
  <c r="Y863" i="2" s="1"/>
  <c r="AK838" i="2"/>
  <c r="X811" i="2"/>
  <c r="Y811" i="2" s="1"/>
  <c r="AJ811" i="2"/>
  <c r="AK819" i="2"/>
  <c r="AL819" i="2" s="1"/>
  <c r="AM819" i="2" s="1"/>
  <c r="AO819" i="2" s="1"/>
  <c r="AJ771" i="2"/>
  <c r="W771" i="2"/>
  <c r="X771" i="2" s="1"/>
  <c r="Y771" i="2" s="1"/>
  <c r="W719" i="2"/>
  <c r="X719" i="2" s="1"/>
  <c r="Y719" i="2" s="1"/>
  <c r="AJ719" i="2"/>
  <c r="AJ746" i="2"/>
  <c r="W746" i="2"/>
  <c r="X746" i="2" s="1"/>
  <c r="Y746" i="2" s="1"/>
  <c r="AK672" i="2"/>
  <c r="AJ688" i="2"/>
  <c r="W688" i="2"/>
  <c r="X688" i="2" s="1"/>
  <c r="Y688" i="2" s="1"/>
  <c r="AJ655" i="2"/>
  <c r="AK655" i="2" s="1"/>
  <c r="W648" i="2"/>
  <c r="X648" i="2" s="1"/>
  <c r="Y648" i="2" s="1"/>
  <c r="AJ648" i="2"/>
  <c r="W577" i="2"/>
  <c r="X577" i="2" s="1"/>
  <c r="Y577" i="2" s="1"/>
  <c r="AJ577" i="2"/>
  <c r="AK615" i="2"/>
  <c r="AL615" i="2" s="1"/>
  <c r="AM615" i="2" s="1"/>
  <c r="AO615" i="2" s="1"/>
  <c r="AK584" i="2"/>
  <c r="AL584" i="2" s="1"/>
  <c r="AM584" i="2" s="1"/>
  <c r="AO584" i="2" s="1"/>
  <c r="AJ595" i="2"/>
  <c r="W595" i="2"/>
  <c r="X595" i="2" s="1"/>
  <c r="Y595" i="2" s="1"/>
  <c r="AJ511" i="2"/>
  <c r="AK511" i="2" s="1"/>
  <c r="AL511" i="2" s="1"/>
  <c r="AM511" i="2" s="1"/>
  <c r="AO511" i="2" s="1"/>
  <c r="AK508" i="2"/>
  <c r="AL508" i="2" s="1"/>
  <c r="AM508" i="2" s="1"/>
  <c r="AO508" i="2" s="1"/>
  <c r="AJ488" i="2"/>
  <c r="W563" i="2"/>
  <c r="X563" i="2" s="1"/>
  <c r="Y563" i="2" s="1"/>
  <c r="AJ563" i="2"/>
  <c r="AJ464" i="2"/>
  <c r="AK464" i="2" s="1"/>
  <c r="AL464" i="2" s="1"/>
  <c r="AM464" i="2" s="1"/>
  <c r="AO464" i="2" s="1"/>
  <c r="AJ417" i="2"/>
  <c r="W417" i="2"/>
  <c r="X417" i="2" s="1"/>
  <c r="Y417" i="2" s="1"/>
  <c r="AJ472" i="2"/>
  <c r="W472" i="2"/>
  <c r="X472" i="2" s="1"/>
  <c r="Y472" i="2" s="1"/>
  <c r="AL324" i="2"/>
  <c r="AM324" i="2" s="1"/>
  <c r="AK372" i="2"/>
  <c r="AJ271" i="2"/>
  <c r="AK271" i="2" s="1"/>
  <c r="AJ231" i="2"/>
  <c r="W231" i="2"/>
  <c r="X231" i="2" s="1"/>
  <c r="Y231" i="2" s="1"/>
  <c r="AK294" i="2"/>
  <c r="AL294" i="2" s="1"/>
  <c r="AM294" i="2" s="1"/>
  <c r="AO294" i="2" s="1"/>
  <c r="AJ299" i="2"/>
  <c r="AK299" i="2" s="1"/>
  <c r="AL299" i="2" s="1"/>
  <c r="AM299" i="2" s="1"/>
  <c r="AO299" i="2" s="1"/>
  <c r="AJ252" i="2"/>
  <c r="AK252" i="2" s="1"/>
  <c r="AL252" i="2" s="1"/>
  <c r="AM252" i="2" s="1"/>
  <c r="AO252" i="2" s="1"/>
  <c r="AJ227" i="2"/>
  <c r="AJ244" i="2"/>
  <c r="W244" i="2"/>
  <c r="X244" i="2" s="1"/>
  <c r="Y244" i="2" s="1"/>
  <c r="AK244" i="2" s="1"/>
  <c r="AL244" i="2" s="1"/>
  <c r="AM244" i="2" s="1"/>
  <c r="AJ190" i="2"/>
  <c r="AK190" i="2" s="1"/>
  <c r="AL190" i="2" s="1"/>
  <c r="AM190" i="2" s="1"/>
  <c r="AO190" i="2" s="1"/>
  <c r="AJ58" i="2"/>
  <c r="AK58" i="2" s="1"/>
  <c r="AL58" i="2" s="1"/>
  <c r="AM58" i="2" s="1"/>
  <c r="AO58" i="2" s="1"/>
  <c r="AO155" i="2"/>
  <c r="AL155" i="2"/>
  <c r="AM155" i="2" s="1"/>
  <c r="AN155" i="2" s="1"/>
  <c r="AJ245" i="2"/>
  <c r="AK245" i="2" s="1"/>
  <c r="AL245" i="2" s="1"/>
  <c r="AM245" i="2" s="1"/>
  <c r="AJ48" i="2"/>
  <c r="W48" i="2"/>
  <c r="X48" i="2" s="1"/>
  <c r="Y48" i="2" s="1"/>
  <c r="AJ14" i="2"/>
  <c r="AK14" i="2" s="1"/>
  <c r="AL14" i="2" s="1"/>
  <c r="AM14" i="2" s="1"/>
  <c r="AL1052" i="2"/>
  <c r="AM1052" i="2" s="1"/>
  <c r="AO1052" i="2" s="1"/>
  <c r="AJ1060" i="2"/>
  <c r="AK1051" i="2"/>
  <c r="AL1051" i="2" s="1"/>
  <c r="AM1051" i="2" s="1"/>
  <c r="AO1051" i="2" s="1"/>
  <c r="W988" i="2"/>
  <c r="X988" i="2" s="1"/>
  <c r="Y988" i="2" s="1"/>
  <c r="AJ988" i="2"/>
  <c r="W1017" i="2"/>
  <c r="X1017" i="2" s="1"/>
  <c r="Y1017" i="2" s="1"/>
  <c r="AJ1017" i="2"/>
  <c r="W946" i="2"/>
  <c r="X946" i="2" s="1"/>
  <c r="Y946" i="2" s="1"/>
  <c r="AJ946" i="2"/>
  <c r="AJ896" i="2"/>
  <c r="W896" i="2"/>
  <c r="X896" i="2" s="1"/>
  <c r="Y896" i="2" s="1"/>
  <c r="AJ857" i="2"/>
  <c r="AK857" i="2" s="1"/>
  <c r="AL857" i="2" s="1"/>
  <c r="AM857" i="2" s="1"/>
  <c r="AO857" i="2" s="1"/>
  <c r="X843" i="2"/>
  <c r="Y843" i="2" s="1"/>
  <c r="AJ843" i="2"/>
  <c r="AJ902" i="2"/>
  <c r="X902" i="2"/>
  <c r="Y902" i="2" s="1"/>
  <c r="AJ833" i="2"/>
  <c r="X833" i="2"/>
  <c r="Y833" i="2" s="1"/>
  <c r="AK763" i="2"/>
  <c r="AL763" i="2" s="1"/>
  <c r="AM763" i="2" s="1"/>
  <c r="AO763" i="2" s="1"/>
  <c r="AJ762" i="2"/>
  <c r="AJ766" i="2"/>
  <c r="X766" i="2"/>
  <c r="Y766" i="2" s="1"/>
  <c r="X707" i="2"/>
  <c r="Y707" i="2" s="1"/>
  <c r="AJ707" i="2"/>
  <c r="W703" i="2"/>
  <c r="X703" i="2" s="1"/>
  <c r="Y703" i="2" s="1"/>
  <c r="AJ703" i="2"/>
  <c r="AJ723" i="2"/>
  <c r="X723" i="2"/>
  <c r="Y723" i="2" s="1"/>
  <c r="AJ671" i="2"/>
  <c r="AK671" i="2" s="1"/>
  <c r="W657" i="2"/>
  <c r="X657" i="2" s="1"/>
  <c r="Y657" i="2" s="1"/>
  <c r="AJ657" i="2"/>
  <c r="AJ644" i="2"/>
  <c r="W644" i="2"/>
  <c r="X644" i="2" s="1"/>
  <c r="Y644" i="2" s="1"/>
  <c r="W664" i="2"/>
  <c r="X664" i="2" s="1"/>
  <c r="Y664" i="2" s="1"/>
  <c r="AJ664" i="2"/>
  <c r="AJ470" i="2"/>
  <c r="AK470" i="2" s="1"/>
  <c r="AL470" i="2" s="1"/>
  <c r="AM470" i="2" s="1"/>
  <c r="AO470" i="2" s="1"/>
  <c r="AJ637" i="2"/>
  <c r="W637" i="2"/>
  <c r="X637" i="2" s="1"/>
  <c r="Y637" i="2" s="1"/>
  <c r="AJ453" i="2"/>
  <c r="AK453" i="2" s="1"/>
  <c r="AL453" i="2" s="1"/>
  <c r="AM453" i="2" s="1"/>
  <c r="AO453" i="2" s="1"/>
  <c r="AK568" i="2"/>
  <c r="AL568" i="2" s="1"/>
  <c r="AM568" i="2" s="1"/>
  <c r="AO568" i="2" s="1"/>
  <c r="AL654" i="2"/>
  <c r="AM654" i="2" s="1"/>
  <c r="AK462" i="2"/>
  <c r="AL462" i="2" s="1"/>
  <c r="AM462" i="2" s="1"/>
  <c r="AO462" i="2" s="1"/>
  <c r="AK526" i="2"/>
  <c r="AL526" i="2" s="1"/>
  <c r="AM526" i="2" s="1"/>
  <c r="AO526" i="2" s="1"/>
  <c r="AJ269" i="2"/>
  <c r="AK269" i="2" s="1"/>
  <c r="AL269" i="2" s="1"/>
  <c r="AM269" i="2" s="1"/>
  <c r="AJ250" i="2"/>
  <c r="AK250" i="2" s="1"/>
  <c r="AL250" i="2" s="1"/>
  <c r="AM250" i="2" s="1"/>
  <c r="AJ203" i="2"/>
  <c r="AK203" i="2" s="1"/>
  <c r="AL203" i="2" s="1"/>
  <c r="AM203" i="2" s="1"/>
  <c r="AJ189" i="2"/>
  <c r="AK189" i="2" s="1"/>
  <c r="AL189" i="2" s="1"/>
  <c r="AM189" i="2" s="1"/>
  <c r="AJ49" i="2"/>
  <c r="AJ226" i="2"/>
  <c r="W226" i="2"/>
  <c r="X226" i="2" s="1"/>
  <c r="Y226" i="2" s="1"/>
  <c r="AO113" i="2"/>
  <c r="AL113" i="2"/>
  <c r="AM113" i="2" s="1"/>
  <c r="AN113" i="2" s="1"/>
  <c r="W134" i="2"/>
  <c r="X134" i="2" s="1"/>
  <c r="Y134" i="2" s="1"/>
  <c r="AJ134" i="2"/>
  <c r="AK113" i="2"/>
  <c r="AJ158" i="2"/>
  <c r="X206" i="2"/>
  <c r="Y206" i="2" s="1"/>
  <c r="AJ206" i="2"/>
  <c r="AK99" i="2"/>
  <c r="AL99" i="2" s="1"/>
  <c r="AM99" i="2" s="1"/>
  <c r="AK140" i="2"/>
  <c r="AL140" i="2" s="1"/>
  <c r="AM140" i="2" s="1"/>
  <c r="AO140" i="2" s="1"/>
  <c r="AJ12" i="2"/>
  <c r="AK12" i="2" s="1"/>
  <c r="AL12" i="2" s="1"/>
  <c r="AM12" i="2" s="1"/>
  <c r="AK37" i="2"/>
  <c r="AL37" i="2" s="1"/>
  <c r="AM37" i="2" s="1"/>
  <c r="AN37" i="2" s="1"/>
  <c r="AK1055" i="2"/>
  <c r="AL1055" i="2" s="1"/>
  <c r="AM1055" i="2" s="1"/>
  <c r="AO1055" i="2" s="1"/>
  <c r="AK932" i="2"/>
  <c r="AL932" i="2" s="1"/>
  <c r="AM932" i="2" s="1"/>
  <c r="AO932" i="2" s="1"/>
  <c r="AJ933" i="2"/>
  <c r="X933" i="2"/>
  <c r="Y933" i="2" s="1"/>
  <c r="AK942" i="2"/>
  <c r="AL942" i="2" s="1"/>
  <c r="AM942" i="2" s="1"/>
  <c r="AO942" i="2" s="1"/>
  <c r="AK894" i="2"/>
  <c r="AL894" i="2" s="1"/>
  <c r="AM894" i="2" s="1"/>
  <c r="X859" i="2"/>
  <c r="Y859" i="2" s="1"/>
  <c r="AJ859" i="2"/>
  <c r="W721" i="2"/>
  <c r="X721" i="2" s="1"/>
  <c r="Y721" i="2" s="1"/>
  <c r="AJ721" i="2"/>
  <c r="AJ696" i="2"/>
  <c r="W696" i="2"/>
  <c r="X696" i="2" s="1"/>
  <c r="Y696" i="2" s="1"/>
  <c r="AJ727" i="2"/>
  <c r="AJ744" i="2"/>
  <c r="W744" i="2"/>
  <c r="X744" i="2" s="1"/>
  <c r="Y744" i="2" s="1"/>
  <c r="AK744" i="2" s="1"/>
  <c r="AL744" i="2" s="1"/>
  <c r="AM744" i="2" s="1"/>
  <c r="AO744" i="2" s="1"/>
  <c r="AK652" i="2"/>
  <c r="AK687" i="2"/>
  <c r="AL687" i="2" s="1"/>
  <c r="AM687" i="2" s="1"/>
  <c r="AO687" i="2" s="1"/>
  <c r="W659" i="2"/>
  <c r="X659" i="2" s="1"/>
  <c r="Y659" i="2" s="1"/>
  <c r="AJ549" i="2"/>
  <c r="X549" i="2"/>
  <c r="Y549" i="2" s="1"/>
  <c r="AJ558" i="2"/>
  <c r="X558" i="2"/>
  <c r="Y558" i="2" s="1"/>
  <c r="AJ548" i="2"/>
  <c r="AK548" i="2" s="1"/>
  <c r="AL548" i="2" s="1"/>
  <c r="AM548" i="2" s="1"/>
  <c r="AO548" i="2" s="1"/>
  <c r="AJ420" i="2"/>
  <c r="W420" i="2"/>
  <c r="X420" i="2" s="1"/>
  <c r="Y420" i="2" s="1"/>
  <c r="AO343" i="2"/>
  <c r="AL343" i="2"/>
  <c r="AM343" i="2" s="1"/>
  <c r="AJ368" i="2"/>
  <c r="AK368" i="2" s="1"/>
  <c r="AJ497" i="2"/>
  <c r="W497" i="2"/>
  <c r="X497" i="2" s="1"/>
  <c r="Y497" i="2" s="1"/>
  <c r="AJ423" i="2"/>
  <c r="W423" i="2"/>
  <c r="X423" i="2" s="1"/>
  <c r="Y423" i="2" s="1"/>
  <c r="AJ449" i="2"/>
  <c r="W449" i="2"/>
  <c r="X449" i="2" s="1"/>
  <c r="Y449" i="2" s="1"/>
  <c r="AJ384" i="2"/>
  <c r="AK384" i="2" s="1"/>
  <c r="AL384" i="2" s="1"/>
  <c r="AM384" i="2" s="1"/>
  <c r="AO384" i="2" s="1"/>
  <c r="AJ268" i="2"/>
  <c r="AK268" i="2" s="1"/>
  <c r="AL268" i="2" s="1"/>
  <c r="AM268" i="2" s="1"/>
  <c r="AO268" i="2" s="1"/>
  <c r="AN288" i="2"/>
  <c r="AO288" i="2" s="1"/>
  <c r="AK191" i="2"/>
  <c r="AL191" i="2" s="1"/>
  <c r="AM191" i="2" s="1"/>
  <c r="AN191" i="2" s="1"/>
  <c r="AO102" i="2"/>
  <c r="AL102" i="2"/>
  <c r="AM102" i="2" s="1"/>
  <c r="AN102" i="2" s="1"/>
  <c r="W188" i="2"/>
  <c r="X188" i="2" s="1"/>
  <c r="Y188" i="2" s="1"/>
  <c r="AJ188" i="2"/>
  <c r="AK46" i="2"/>
  <c r="AL46" i="2" s="1"/>
  <c r="AM46" i="2" s="1"/>
  <c r="Y1018" i="2"/>
  <c r="X1018" i="2"/>
  <c r="AJ1018" i="2"/>
  <c r="AJ977" i="2"/>
  <c r="X977" i="2"/>
  <c r="Y977" i="2" s="1"/>
  <c r="AK986" i="2"/>
  <c r="AL986" i="2" s="1"/>
  <c r="AM986" i="2" s="1"/>
  <c r="AO986" i="2" s="1"/>
  <c r="Y918" i="2"/>
  <c r="X918" i="2"/>
  <c r="AJ918" i="2"/>
  <c r="AK869" i="2"/>
  <c r="AJ959" i="2"/>
  <c r="W959" i="2"/>
  <c r="X959" i="2" s="1"/>
  <c r="Y959" i="2" s="1"/>
  <c r="AJ953" i="2"/>
  <c r="W911" i="2"/>
  <c r="X911" i="2" s="1"/>
  <c r="Y911" i="2" s="1"/>
  <c r="AJ911" i="2"/>
  <c r="AK741" i="2"/>
  <c r="AL741" i="2" s="1"/>
  <c r="AM741" i="2" s="1"/>
  <c r="AO741" i="2" s="1"/>
  <c r="AO668" i="2"/>
  <c r="AL668" i="2"/>
  <c r="AM668" i="2" s="1"/>
  <c r="AJ691" i="2"/>
  <c r="AJ643" i="2"/>
  <c r="W643" i="2"/>
  <c r="X643" i="2" s="1"/>
  <c r="Y643" i="2" s="1"/>
  <c r="W653" i="2"/>
  <c r="X653" i="2" s="1"/>
  <c r="Y653" i="2" s="1"/>
  <c r="AJ653" i="2"/>
  <c r="AJ560" i="2"/>
  <c r="X560" i="2"/>
  <c r="Y560" i="2" s="1"/>
  <c r="AJ485" i="2"/>
  <c r="AK485" i="2" s="1"/>
  <c r="AL485" i="2" s="1"/>
  <c r="AM485" i="2" s="1"/>
  <c r="AO485" i="2" s="1"/>
  <c r="AJ465" i="2"/>
  <c r="W465" i="2"/>
  <c r="X465" i="2" s="1"/>
  <c r="Y465" i="2" s="1"/>
  <c r="AJ390" i="2"/>
  <c r="W390" i="2"/>
  <c r="X390" i="2" s="1"/>
  <c r="Y390" i="2" s="1"/>
  <c r="AK445" i="2"/>
  <c r="AL445" i="2" s="1"/>
  <c r="AM445" i="2" s="1"/>
  <c r="AO445" i="2" s="1"/>
  <c r="AJ407" i="2"/>
  <c r="AK407" i="2" s="1"/>
  <c r="AL407" i="2" s="1"/>
  <c r="AM407" i="2" s="1"/>
  <c r="AO407" i="2" s="1"/>
  <c r="AJ403" i="2"/>
  <c r="W403" i="2"/>
  <c r="X403" i="2" s="1"/>
  <c r="Y403" i="2" s="1"/>
  <c r="AJ180" i="2"/>
  <c r="AK180" i="2" s="1"/>
  <c r="AJ264" i="2"/>
  <c r="AK264" i="2" s="1"/>
  <c r="AL264" i="2" s="1"/>
  <c r="AM264" i="2" s="1"/>
  <c r="AJ357" i="2"/>
  <c r="W357" i="2"/>
  <c r="X357" i="2" s="1"/>
  <c r="Y357" i="2" s="1"/>
  <c r="AJ138" i="2"/>
  <c r="AK138" i="2" s="1"/>
  <c r="AL138" i="2" s="1"/>
  <c r="AM138" i="2" s="1"/>
  <c r="AO138" i="2" s="1"/>
  <c r="X392" i="2"/>
  <c r="Y392" i="2" s="1"/>
  <c r="AJ392" i="2"/>
  <c r="AJ110" i="2"/>
  <c r="W110" i="2"/>
  <c r="X110" i="2" s="1"/>
  <c r="Y110" i="2" s="1"/>
  <c r="AK110" i="2" s="1"/>
  <c r="AL110" i="2" s="1"/>
  <c r="AM110" i="2" s="1"/>
  <c r="AN110" i="2" s="1"/>
  <c r="AK90" i="2"/>
  <c r="AL90" i="2" s="1"/>
  <c r="AM90" i="2" s="1"/>
  <c r="AO90" i="2" s="1"/>
  <c r="AJ136" i="2"/>
  <c r="AK136" i="2" s="1"/>
  <c r="AL136" i="2" s="1"/>
  <c r="AM136" i="2" s="1"/>
  <c r="AO136" i="2" s="1"/>
  <c r="AK169" i="2"/>
  <c r="AK47" i="2"/>
  <c r="AL47" i="2" s="1"/>
  <c r="AM47" i="2" s="1"/>
  <c r="AO47" i="2" s="1"/>
  <c r="AK11" i="2"/>
  <c r="AL11" i="2" s="1"/>
  <c r="AM11" i="2" s="1"/>
  <c r="AO11" i="2" s="1"/>
  <c r="AK26" i="2"/>
  <c r="AL26" i="2" s="1"/>
  <c r="AM26" i="2" s="1"/>
  <c r="AO26" i="2" s="1"/>
  <c r="AJ627" i="2"/>
  <c r="W627" i="2"/>
  <c r="X627" i="2" s="1"/>
  <c r="Y627" i="2" s="1"/>
  <c r="AJ636" i="2"/>
  <c r="W636" i="2"/>
  <c r="X636" i="2" s="1"/>
  <c r="Y636" i="2" s="1"/>
  <c r="W553" i="2"/>
  <c r="X553" i="2" s="1"/>
  <c r="Y553" i="2" s="1"/>
  <c r="AJ553" i="2"/>
  <c r="X520" i="2"/>
  <c r="Y520" i="2" s="1"/>
  <c r="AJ520" i="2"/>
  <c r="AK432" i="2"/>
  <c r="AL432" i="2" s="1"/>
  <c r="AM432" i="2" s="1"/>
  <c r="AO432" i="2" s="1"/>
  <c r="W315" i="2"/>
  <c r="X315" i="2" s="1"/>
  <c r="Y315" i="2" s="1"/>
  <c r="AJ315" i="2"/>
  <c r="AN298" i="2"/>
  <c r="AO298" i="2" s="1"/>
  <c r="AJ383" i="2"/>
  <c r="W383" i="2"/>
  <c r="X383" i="2" s="1"/>
  <c r="Y383" i="2" s="1"/>
  <c r="AK383" i="2" s="1"/>
  <c r="AJ157" i="2"/>
  <c r="W157" i="2"/>
  <c r="X157" i="2" s="1"/>
  <c r="Y157" i="2" s="1"/>
  <c r="AJ1144" i="2"/>
  <c r="X1144" i="2"/>
  <c r="Y1144" i="2" s="1"/>
  <c r="AK1019" i="2"/>
  <c r="AL1019" i="2" s="1"/>
  <c r="AM1019" i="2" s="1"/>
  <c r="AO1019" i="2" s="1"/>
  <c r="X1036" i="2"/>
  <c r="Y1036" i="2" s="1"/>
  <c r="AJ1036" i="2"/>
  <c r="W1001" i="2"/>
  <c r="X1001" i="2" s="1"/>
  <c r="Y1001" i="2" s="1"/>
  <c r="AJ1001" i="2"/>
  <c r="AJ1026" i="2"/>
  <c r="W1026" i="2"/>
  <c r="X1026" i="2" s="1"/>
  <c r="Y1026" i="2" s="1"/>
  <c r="W1060" i="2"/>
  <c r="X1060" i="2" s="1"/>
  <c r="Y1060" i="2" s="1"/>
  <c r="AK1060" i="2" s="1"/>
  <c r="AL1060" i="2" s="1"/>
  <c r="AM1060" i="2" s="1"/>
  <c r="AO1060" i="2" s="1"/>
  <c r="AJ952" i="2"/>
  <c r="W950" i="2"/>
  <c r="X950" i="2" s="1"/>
  <c r="Y950" i="2" s="1"/>
  <c r="AJ950" i="2"/>
  <c r="W953" i="2"/>
  <c r="X953" i="2" s="1"/>
  <c r="Y953" i="2" s="1"/>
  <c r="AJ937" i="2"/>
  <c r="X937" i="2"/>
  <c r="Y937" i="2" s="1"/>
  <c r="AJ873" i="2"/>
  <c r="AK873" i="2" s="1"/>
  <c r="AL873" i="2" s="1"/>
  <c r="AM873" i="2" s="1"/>
  <c r="AO873" i="2" s="1"/>
  <c r="X903" i="2"/>
  <c r="Y903" i="2" s="1"/>
  <c r="AJ903" i="2"/>
  <c r="AL868" i="2"/>
  <c r="AM868" i="2" s="1"/>
  <c r="AJ788" i="2"/>
  <c r="AK749" i="2"/>
  <c r="AL749" i="2" s="1"/>
  <c r="AM749" i="2" s="1"/>
  <c r="AO749" i="2" s="1"/>
  <c r="AK770" i="2"/>
  <c r="AL770" i="2" s="1"/>
  <c r="AM770" i="2" s="1"/>
  <c r="AO770" i="2" s="1"/>
  <c r="W724" i="2"/>
  <c r="X724" i="2" s="1"/>
  <c r="Y724" i="2" s="1"/>
  <c r="AJ724" i="2"/>
  <c r="AJ718" i="2"/>
  <c r="X718" i="2"/>
  <c r="Y718" i="2" s="1"/>
  <c r="W727" i="2"/>
  <c r="X727" i="2" s="1"/>
  <c r="Y727" i="2" s="1"/>
  <c r="AJ660" i="2"/>
  <c r="AK660" i="2" s="1"/>
  <c r="AJ631" i="2"/>
  <c r="W631" i="2"/>
  <c r="X631" i="2" s="1"/>
  <c r="Y631" i="2" s="1"/>
  <c r="AL667" i="2"/>
  <c r="AM667" i="2" s="1"/>
  <c r="AJ622" i="2"/>
  <c r="X622" i="2"/>
  <c r="Y622" i="2" s="1"/>
  <c r="AK587" i="2"/>
  <c r="AL587" i="2" s="1"/>
  <c r="AM587" i="2" s="1"/>
  <c r="AO587" i="2" s="1"/>
  <c r="AK612" i="2"/>
  <c r="AL612" i="2" s="1"/>
  <c r="AM612" i="2" s="1"/>
  <c r="AO612" i="2" s="1"/>
  <c r="X611" i="2"/>
  <c r="Y611" i="2" s="1"/>
  <c r="AJ611" i="2"/>
  <c r="AK494" i="2"/>
  <c r="AL494" i="2" s="1"/>
  <c r="AM494" i="2" s="1"/>
  <c r="AO494" i="2" s="1"/>
  <c r="AK471" i="2"/>
  <c r="AL471" i="2" s="1"/>
  <c r="AM471" i="2" s="1"/>
  <c r="AO471" i="2" s="1"/>
  <c r="AJ436" i="2"/>
  <c r="W436" i="2"/>
  <c r="X436" i="2" s="1"/>
  <c r="Y436" i="2" s="1"/>
  <c r="AK477" i="2"/>
  <c r="AL477" i="2" s="1"/>
  <c r="AM477" i="2" s="1"/>
  <c r="AO477" i="2" s="1"/>
  <c r="W431" i="2"/>
  <c r="X431" i="2" s="1"/>
  <c r="Y431" i="2" s="1"/>
  <c r="AJ431" i="2"/>
  <c r="AK495" i="2"/>
  <c r="AL495" i="2" s="1"/>
  <c r="AM495" i="2" s="1"/>
  <c r="AO495" i="2" s="1"/>
  <c r="AK346" i="2"/>
  <c r="AJ353" i="2"/>
  <c r="W353" i="2"/>
  <c r="X353" i="2" s="1"/>
  <c r="Y353" i="2" s="1"/>
  <c r="AK405" i="2"/>
  <c r="AL405" i="2" s="1"/>
  <c r="AM405" i="2" s="1"/>
  <c r="AO405" i="2" s="1"/>
  <c r="AK182" i="2"/>
  <c r="AL182" i="2" s="1"/>
  <c r="AM182" i="2" s="1"/>
  <c r="AO182" i="2" s="1"/>
  <c r="AO171" i="2"/>
  <c r="AL171" i="2"/>
  <c r="AM171" i="2" s="1"/>
  <c r="AK293" i="2"/>
  <c r="AL293" i="2" s="1"/>
  <c r="AM293" i="2" s="1"/>
  <c r="AO293" i="2" s="1"/>
  <c r="AL123" i="2"/>
  <c r="AM123" i="2" s="1"/>
  <c r="AN123" i="2" s="1"/>
  <c r="AJ207" i="2"/>
  <c r="AK207" i="2" s="1"/>
  <c r="AL207" i="2" s="1"/>
  <c r="AM207" i="2" s="1"/>
  <c r="AK135" i="2"/>
  <c r="AL135" i="2" s="1"/>
  <c r="AM135" i="2" s="1"/>
  <c r="AN135" i="2" s="1"/>
  <c r="AK153" i="2"/>
  <c r="W1129" i="2"/>
  <c r="X1129" i="2" s="1"/>
  <c r="Y1129" i="2" s="1"/>
  <c r="AJ1129" i="2"/>
  <c r="X1083" i="2"/>
  <c r="Y1083" i="2" s="1"/>
  <c r="AJ1083" i="2"/>
  <c r="W1049" i="2"/>
  <c r="X1049" i="2" s="1"/>
  <c r="Y1049" i="2" s="1"/>
  <c r="AJ1049" i="2"/>
  <c r="W1043" i="2"/>
  <c r="X1043" i="2" s="1"/>
  <c r="Y1043" i="2" s="1"/>
  <c r="AJ1043" i="2"/>
  <c r="AJ1104" i="2"/>
  <c r="X1104" i="2"/>
  <c r="Y1104" i="2" s="1"/>
  <c r="W1066" i="2"/>
  <c r="X1066" i="2" s="1"/>
  <c r="Y1066" i="2" s="1"/>
  <c r="AJ1066" i="2"/>
  <c r="W1072" i="2"/>
  <c r="X1072" i="2" s="1"/>
  <c r="Y1072" i="2" s="1"/>
  <c r="AJ1072" i="2"/>
  <c r="AJ1057" i="2"/>
  <c r="AK1057" i="2" s="1"/>
  <c r="AL1057" i="2" s="1"/>
  <c r="AM1057" i="2" s="1"/>
  <c r="AO1057" i="2" s="1"/>
  <c r="AJ1054" i="2"/>
  <c r="AK1054" i="2" s="1"/>
  <c r="AL1054" i="2" s="1"/>
  <c r="AM1054" i="2" s="1"/>
  <c r="AO1054" i="2" s="1"/>
  <c r="AJ1021" i="2"/>
  <c r="W1021" i="2"/>
  <c r="X1021" i="2" s="1"/>
  <c r="Y1021" i="2" s="1"/>
  <c r="AK994" i="2"/>
  <c r="AL994" i="2" s="1"/>
  <c r="AM994" i="2" s="1"/>
  <c r="AO994" i="2" s="1"/>
  <c r="X945" i="2"/>
  <c r="Y945" i="2" s="1"/>
  <c r="AJ945" i="2"/>
  <c r="AL947" i="2"/>
  <c r="AM947" i="2" s="1"/>
  <c r="AO947" i="2" s="1"/>
  <c r="W938" i="2"/>
  <c r="X938" i="2" s="1"/>
  <c r="Y938" i="2" s="1"/>
  <c r="AJ938" i="2"/>
  <c r="W831" i="2"/>
  <c r="X831" i="2" s="1"/>
  <c r="Y831" i="2" s="1"/>
  <c r="AJ831" i="2"/>
  <c r="W818" i="2"/>
  <c r="X818" i="2" s="1"/>
  <c r="Y818" i="2" s="1"/>
  <c r="AJ818" i="2"/>
  <c r="W846" i="2"/>
  <c r="X846" i="2" s="1"/>
  <c r="Y846" i="2" s="1"/>
  <c r="AJ806" i="2"/>
  <c r="W806" i="2"/>
  <c r="X806" i="2" s="1"/>
  <c r="Y806" i="2" s="1"/>
  <c r="W762" i="2"/>
  <c r="X762" i="2" s="1"/>
  <c r="Y762" i="2" s="1"/>
  <c r="AK768" i="2"/>
  <c r="AL768" i="2" s="1"/>
  <c r="AM768" i="2" s="1"/>
  <c r="AO768" i="2" s="1"/>
  <c r="AO669" i="2"/>
  <c r="AL669" i="2"/>
  <c r="AM669" i="2" s="1"/>
  <c r="AJ620" i="2"/>
  <c r="W620" i="2"/>
  <c r="X620" i="2" s="1"/>
  <c r="Y620" i="2" s="1"/>
  <c r="AJ516" i="2"/>
  <c r="AK516" i="2" s="1"/>
  <c r="AL516" i="2" s="1"/>
  <c r="AM516" i="2" s="1"/>
  <c r="AO516" i="2" s="1"/>
  <c r="AJ428" i="2"/>
  <c r="AK428" i="2" s="1"/>
  <c r="AL428" i="2" s="1"/>
  <c r="AM428" i="2" s="1"/>
  <c r="AO428" i="2" s="1"/>
  <c r="AJ439" i="2"/>
  <c r="W439" i="2"/>
  <c r="X439" i="2" s="1"/>
  <c r="Y439" i="2" s="1"/>
  <c r="AJ352" i="2"/>
  <c r="AK352" i="2" s="1"/>
  <c r="AK486" i="2"/>
  <c r="AL486" i="2" s="1"/>
  <c r="AM486" i="2" s="1"/>
  <c r="AO486" i="2" s="1"/>
  <c r="AK527" i="2"/>
  <c r="AL527" i="2" s="1"/>
  <c r="AM527" i="2" s="1"/>
  <c r="AO527" i="2" s="1"/>
  <c r="AL372" i="2"/>
  <c r="AM372" i="2" s="1"/>
  <c r="AJ395" i="2"/>
  <c r="AK395" i="2" s="1"/>
  <c r="AJ338" i="2"/>
  <c r="AK338" i="2" s="1"/>
  <c r="X296" i="2"/>
  <c r="Y296" i="2" s="1"/>
  <c r="AJ296" i="2"/>
  <c r="X215" i="2"/>
  <c r="Y215" i="2" s="1"/>
  <c r="AJ215" i="2"/>
  <c r="AJ276" i="2"/>
  <c r="AJ205" i="2"/>
  <c r="AK205" i="2" s="1"/>
  <c r="AL205" i="2" s="1"/>
  <c r="AM205" i="2" s="1"/>
  <c r="AJ234" i="2"/>
  <c r="AK234" i="2" s="1"/>
  <c r="AK145" i="2"/>
  <c r="AL145" i="2" s="1"/>
  <c r="AM145" i="2" s="1"/>
  <c r="AK29" i="2"/>
  <c r="AL29" i="2" s="1"/>
  <c r="AM29" i="2" s="1"/>
  <c r="AO29" i="2" s="1"/>
  <c r="AJ936" i="2"/>
  <c r="W966" i="2"/>
  <c r="X966" i="2" s="1"/>
  <c r="Y966" i="2" s="1"/>
  <c r="AJ966" i="2"/>
  <c r="W952" i="2"/>
  <c r="X952" i="2" s="1"/>
  <c r="Y952" i="2" s="1"/>
  <c r="AJ929" i="2"/>
  <c r="W929" i="2"/>
  <c r="X929" i="2" s="1"/>
  <c r="Y929" i="2" s="1"/>
  <c r="AJ847" i="2"/>
  <c r="X830" i="2"/>
  <c r="Y830" i="2" s="1"/>
  <c r="AJ830" i="2"/>
  <c r="AJ828" i="2"/>
  <c r="W828" i="2"/>
  <c r="X828" i="2" s="1"/>
  <c r="Y828" i="2" s="1"/>
  <c r="AK784" i="2"/>
  <c r="AL784" i="2" s="1"/>
  <c r="AM784" i="2" s="1"/>
  <c r="AO784" i="2" s="1"/>
  <c r="X772" i="2"/>
  <c r="Y772" i="2" s="1"/>
  <c r="AJ772" i="2"/>
  <c r="Y809" i="2"/>
  <c r="X809" i="2"/>
  <c r="W809" i="2"/>
  <c r="AJ809" i="2"/>
  <c r="AK678" i="2"/>
  <c r="AJ638" i="2"/>
  <c r="X638" i="2"/>
  <c r="Y638" i="2" s="1"/>
  <c r="AJ621" i="2"/>
  <c r="AJ565" i="2"/>
  <c r="AK565" i="2" s="1"/>
  <c r="AL565" i="2" s="1"/>
  <c r="AM565" i="2" s="1"/>
  <c r="AO565" i="2" s="1"/>
  <c r="AJ507" i="2"/>
  <c r="AK507" i="2" s="1"/>
  <c r="AL507" i="2" s="1"/>
  <c r="AM507" i="2" s="1"/>
  <c r="AO507" i="2" s="1"/>
  <c r="AK433" i="2"/>
  <c r="AL433" i="2" s="1"/>
  <c r="AM433" i="2" s="1"/>
  <c r="AO433" i="2" s="1"/>
  <c r="X422" i="2"/>
  <c r="Y422" i="2" s="1"/>
  <c r="AJ422" i="2"/>
  <c r="AK501" i="2"/>
  <c r="AL501" i="2" s="1"/>
  <c r="AM501" i="2" s="1"/>
  <c r="AO501" i="2" s="1"/>
  <c r="AL544" i="2"/>
  <c r="AM544" i="2" s="1"/>
  <c r="AO544" i="2" s="1"/>
  <c r="AJ391" i="2"/>
  <c r="AK391" i="2" s="1"/>
  <c r="AJ308" i="2"/>
  <c r="W308" i="2"/>
  <c r="X308" i="2" s="1"/>
  <c r="Y308" i="2" s="1"/>
  <c r="AL337" i="2"/>
  <c r="AM337" i="2" s="1"/>
  <c r="AJ253" i="2"/>
  <c r="AK253" i="2" s="1"/>
  <c r="AL253" i="2" s="1"/>
  <c r="AM253" i="2" s="1"/>
  <c r="AO253" i="2" s="1"/>
  <c r="W415" i="2"/>
  <c r="X415" i="2" s="1"/>
  <c r="Y415" i="2" s="1"/>
  <c r="Y300" i="2"/>
  <c r="W300" i="2"/>
  <c r="AJ300" i="2"/>
  <c r="X300" i="2"/>
  <c r="AJ254" i="2"/>
  <c r="AK254" i="2" s="1"/>
  <c r="AL254" i="2" s="1"/>
  <c r="AM254" i="2" s="1"/>
  <c r="AJ194" i="2"/>
  <c r="W194" i="2"/>
  <c r="X194" i="2" s="1"/>
  <c r="Y194" i="2" s="1"/>
  <c r="X1135" i="2"/>
  <c r="Y1135" i="2" s="1"/>
  <c r="AJ1135" i="2"/>
  <c r="AK1089" i="2"/>
  <c r="AL1089" i="2" s="1"/>
  <c r="AM1089" i="2" s="1"/>
  <c r="AO1089" i="2" s="1"/>
  <c r="X1070" i="2"/>
  <c r="Y1070" i="2" s="1"/>
  <c r="AJ1070" i="2"/>
  <c r="W968" i="2"/>
  <c r="X968" i="2" s="1"/>
  <c r="Y968" i="2" s="1"/>
  <c r="AL931" i="2"/>
  <c r="AM931" i="2" s="1"/>
  <c r="AO931" i="2" s="1"/>
  <c r="W924" i="2"/>
  <c r="X924" i="2" s="1"/>
  <c r="Y924" i="2" s="1"/>
  <c r="AJ924" i="2"/>
  <c r="W888" i="2"/>
  <c r="X888" i="2" s="1"/>
  <c r="Y888" i="2" s="1"/>
  <c r="AJ888" i="2"/>
  <c r="X875" i="2"/>
  <c r="Y875" i="2" s="1"/>
  <c r="AJ875" i="2"/>
  <c r="W936" i="2"/>
  <c r="X936" i="2" s="1"/>
  <c r="Y936" i="2" s="1"/>
  <c r="AJ849" i="2"/>
  <c r="X849" i="2"/>
  <c r="Y849" i="2" s="1"/>
  <c r="AL841" i="2"/>
  <c r="AM841" i="2" s="1"/>
  <c r="AN841" i="2" s="1"/>
  <c r="AK805" i="2"/>
  <c r="AL805" i="2" s="1"/>
  <c r="AM805" i="2" s="1"/>
  <c r="AO805" i="2" s="1"/>
  <c r="AJ802" i="2"/>
  <c r="W802" i="2"/>
  <c r="X802" i="2" s="1"/>
  <c r="Y802" i="2" s="1"/>
  <c r="AL733" i="2"/>
  <c r="AM733" i="2" s="1"/>
  <c r="AO733" i="2" s="1"/>
  <c r="W767" i="2"/>
  <c r="X767" i="2" s="1"/>
  <c r="Y767" i="2" s="1"/>
  <c r="AJ767" i="2"/>
  <c r="AJ713" i="2"/>
  <c r="AK713" i="2" s="1"/>
  <c r="AL713" i="2" s="1"/>
  <c r="AM713" i="2" s="1"/>
  <c r="AO713" i="2" s="1"/>
  <c r="AL703" i="2"/>
  <c r="AM703" i="2" s="1"/>
  <c r="AJ681" i="2"/>
  <c r="AJ715" i="2"/>
  <c r="AK715" i="2" s="1"/>
  <c r="AL715" i="2" s="1"/>
  <c r="AM715" i="2" s="1"/>
  <c r="AO715" i="2" s="1"/>
  <c r="AJ702" i="2"/>
  <c r="W702" i="2"/>
  <c r="X702" i="2" s="1"/>
  <c r="Y702" i="2" s="1"/>
  <c r="W689" i="2"/>
  <c r="X689" i="2" s="1"/>
  <c r="Y689" i="2" s="1"/>
  <c r="AJ689" i="2"/>
  <c r="AK566" i="2"/>
  <c r="AL566" i="2" s="1"/>
  <c r="AM566" i="2" s="1"/>
  <c r="AO566" i="2" s="1"/>
  <c r="AK658" i="2"/>
  <c r="AL645" i="2"/>
  <c r="AM645" i="2" s="1"/>
  <c r="AL705" i="2"/>
  <c r="AM705" i="2" s="1"/>
  <c r="W681" i="2"/>
  <c r="X681" i="2" s="1"/>
  <c r="Y681" i="2" s="1"/>
  <c r="AJ632" i="2"/>
  <c r="W632" i="2"/>
  <c r="X632" i="2" s="1"/>
  <c r="Y632" i="2" s="1"/>
  <c r="AJ590" i="2"/>
  <c r="X590" i="2"/>
  <c r="Y590" i="2" s="1"/>
  <c r="W621" i="2"/>
  <c r="X621" i="2" s="1"/>
  <c r="Y621" i="2" s="1"/>
  <c r="AJ554" i="2"/>
  <c r="W554" i="2"/>
  <c r="X554" i="2" s="1"/>
  <c r="Y554" i="2" s="1"/>
  <c r="AK429" i="2"/>
  <c r="AL429" i="2" s="1"/>
  <c r="AM429" i="2" s="1"/>
  <c r="AO429" i="2" s="1"/>
  <c r="W488" i="2"/>
  <c r="X488" i="2" s="1"/>
  <c r="Y488" i="2" s="1"/>
  <c r="AK614" i="2"/>
  <c r="AL614" i="2" s="1"/>
  <c r="AM614" i="2" s="1"/>
  <c r="AO614" i="2" s="1"/>
  <c r="AJ521" i="2"/>
  <c r="AK521" i="2" s="1"/>
  <c r="AL521" i="2" s="1"/>
  <c r="AM521" i="2" s="1"/>
  <c r="AO521" i="2" s="1"/>
  <c r="AJ398" i="2"/>
  <c r="AK398" i="2" s="1"/>
  <c r="AL398" i="2" s="1"/>
  <c r="AM398" i="2" s="1"/>
  <c r="AO398" i="2" s="1"/>
  <c r="AJ446" i="2"/>
  <c r="W446" i="2"/>
  <c r="X446" i="2" s="1"/>
  <c r="Y446" i="2" s="1"/>
  <c r="AK446" i="2" s="1"/>
  <c r="AL446" i="2" s="1"/>
  <c r="AM446" i="2" s="1"/>
  <c r="AO446" i="2" s="1"/>
  <c r="AJ387" i="2"/>
  <c r="X387" i="2"/>
  <c r="Y387" i="2" s="1"/>
  <c r="AJ399" i="2"/>
  <c r="W399" i="2"/>
  <c r="X399" i="2" s="1"/>
  <c r="Y399" i="2" s="1"/>
  <c r="AL364" i="2"/>
  <c r="AM364" i="2" s="1"/>
  <c r="AO364" i="2" s="1"/>
  <c r="W344" i="2"/>
  <c r="X344" i="2" s="1"/>
  <c r="Y344" i="2" s="1"/>
  <c r="AJ327" i="2"/>
  <c r="X327" i="2"/>
  <c r="Y327" i="2" s="1"/>
  <c r="AJ409" i="2"/>
  <c r="AK409" i="2" s="1"/>
  <c r="AO227" i="2"/>
  <c r="AL227" i="2"/>
  <c r="AM227" i="2" s="1"/>
  <c r="AN227" i="2" s="1"/>
  <c r="AJ401" i="2"/>
  <c r="W401" i="2"/>
  <c r="X401" i="2" s="1"/>
  <c r="Y401" i="2" s="1"/>
  <c r="AL308" i="2"/>
  <c r="AM308" i="2" s="1"/>
  <c r="AK274" i="2"/>
  <c r="AL274" i="2" s="1"/>
  <c r="AM274" i="2" s="1"/>
  <c r="AN274" i="2" s="1"/>
  <c r="AK198" i="2"/>
  <c r="AL198" i="2" s="1"/>
  <c r="AM198" i="2" s="1"/>
  <c r="AO198" i="2" s="1"/>
  <c r="AJ128" i="2"/>
  <c r="AK128" i="2" s="1"/>
  <c r="AL128" i="2" s="1"/>
  <c r="AM128" i="2" s="1"/>
  <c r="AK146" i="2"/>
  <c r="AL146" i="2" s="1"/>
  <c r="AM146" i="2" s="1"/>
  <c r="AO146" i="2" s="1"/>
  <c r="AK176" i="2"/>
  <c r="AL176" i="2" s="1"/>
  <c r="AM176" i="2" s="1"/>
  <c r="AK23" i="2"/>
  <c r="AL23" i="2" s="1"/>
  <c r="AM23" i="2" s="1"/>
  <c r="AJ991" i="2"/>
  <c r="X991" i="2"/>
  <c r="Y991" i="2" s="1"/>
  <c r="AK916" i="2"/>
  <c r="AL916" i="2" s="1"/>
  <c r="AM916" i="2" s="1"/>
  <c r="AO916" i="2" s="1"/>
  <c r="X892" i="2"/>
  <c r="Y892" i="2" s="1"/>
  <c r="AJ892" i="2"/>
  <c r="AK923" i="2"/>
  <c r="AL923" i="2" s="1"/>
  <c r="AM923" i="2" s="1"/>
  <c r="AO923" i="2" s="1"/>
  <c r="AJ882" i="2"/>
  <c r="X897" i="2"/>
  <c r="AJ897" i="2"/>
  <c r="Y897" i="2"/>
  <c r="W847" i="2"/>
  <c r="X847" i="2" s="1"/>
  <c r="Y847" i="2" s="1"/>
  <c r="W882" i="2"/>
  <c r="X882" i="2" s="1"/>
  <c r="Y882" i="2" s="1"/>
  <c r="AJ872" i="2"/>
  <c r="W872" i="2"/>
  <c r="X872" i="2" s="1"/>
  <c r="Y872" i="2" s="1"/>
  <c r="AJ840" i="2"/>
  <c r="AK840" i="2" s="1"/>
  <c r="AL840" i="2" s="1"/>
  <c r="AM840" i="2" s="1"/>
  <c r="AO840" i="2" s="1"/>
  <c r="W800" i="2"/>
  <c r="X800" i="2" s="1"/>
  <c r="Y800" i="2" s="1"/>
  <c r="AJ800" i="2"/>
  <c r="W788" i="2"/>
  <c r="X788" i="2" s="1"/>
  <c r="Y788" i="2" s="1"/>
  <c r="X813" i="2"/>
  <c r="Y813" i="2" s="1"/>
  <c r="AJ813" i="2"/>
  <c r="W758" i="2"/>
  <c r="X758" i="2" s="1"/>
  <c r="Y758" i="2" s="1"/>
  <c r="AJ758" i="2"/>
  <c r="AL740" i="2"/>
  <c r="AM740" i="2" s="1"/>
  <c r="AO740" i="2" s="1"/>
  <c r="AJ783" i="2"/>
  <c r="X783" i="2"/>
  <c r="Y783" i="2" s="1"/>
  <c r="AK783" i="2" s="1"/>
  <c r="AL783" i="2" s="1"/>
  <c r="AM783" i="2" s="1"/>
  <c r="AO783" i="2" s="1"/>
  <c r="AK794" i="2"/>
  <c r="AL794" i="2" s="1"/>
  <c r="AM794" i="2" s="1"/>
  <c r="AO794" i="2" s="1"/>
  <c r="AJ743" i="2"/>
  <c r="AK743" i="2" s="1"/>
  <c r="AL743" i="2" s="1"/>
  <c r="AM743" i="2" s="1"/>
  <c r="AO743" i="2" s="1"/>
  <c r="AK732" i="2"/>
  <c r="AL732" i="2" s="1"/>
  <c r="AM732" i="2" s="1"/>
  <c r="AO732" i="2" s="1"/>
  <c r="W782" i="2"/>
  <c r="X782" i="2" s="1"/>
  <c r="Y782" i="2" s="1"/>
  <c r="AJ782" i="2"/>
  <c r="W691" i="2"/>
  <c r="X691" i="2" s="1"/>
  <c r="Y691" i="2" s="1"/>
  <c r="AO652" i="2"/>
  <c r="AL652" i="2"/>
  <c r="AM652" i="2" s="1"/>
  <c r="AK675" i="2"/>
  <c r="AJ625" i="2"/>
  <c r="AK625" i="2" s="1"/>
  <c r="AL625" i="2" s="1"/>
  <c r="AM625" i="2" s="1"/>
  <c r="AO625" i="2" s="1"/>
  <c r="AK662" i="2"/>
  <c r="AL674" i="2"/>
  <c r="AM674" i="2" s="1"/>
  <c r="AJ571" i="2"/>
  <c r="AK571" i="2" s="1"/>
  <c r="AL571" i="2" s="1"/>
  <c r="AM571" i="2" s="1"/>
  <c r="AO571" i="2" s="1"/>
  <c r="W705" i="2"/>
  <c r="X705" i="2" s="1"/>
  <c r="Y705" i="2" s="1"/>
  <c r="AJ705" i="2"/>
  <c r="W574" i="2"/>
  <c r="X574" i="2" s="1"/>
  <c r="Y574" i="2" s="1"/>
  <c r="AJ518" i="2"/>
  <c r="AK518" i="2" s="1"/>
  <c r="AL518" i="2" s="1"/>
  <c r="AM518" i="2" s="1"/>
  <c r="AO518" i="2" s="1"/>
  <c r="AK596" i="2"/>
  <c r="AL596" i="2" s="1"/>
  <c r="AM596" i="2" s="1"/>
  <c r="AO596" i="2" s="1"/>
  <c r="X588" i="2"/>
  <c r="Y588" i="2" s="1"/>
  <c r="AJ588" i="2"/>
  <c r="AJ491" i="2"/>
  <c r="AK491" i="2" s="1"/>
  <c r="AL491" i="2" s="1"/>
  <c r="AM491" i="2" s="1"/>
  <c r="AO491" i="2" s="1"/>
  <c r="AK525" i="2"/>
  <c r="AL525" i="2" s="1"/>
  <c r="AM525" i="2" s="1"/>
  <c r="AO525" i="2" s="1"/>
  <c r="AJ480" i="2"/>
  <c r="AK480" i="2" s="1"/>
  <c r="AL480" i="2" s="1"/>
  <c r="AM480" i="2" s="1"/>
  <c r="AO480" i="2" s="1"/>
  <c r="AJ430" i="2"/>
  <c r="AK430" i="2" s="1"/>
  <c r="AL430" i="2" s="1"/>
  <c r="AM430" i="2" s="1"/>
  <c r="AO430" i="2" s="1"/>
  <c r="AJ339" i="2"/>
  <c r="AK339" i="2" s="1"/>
  <c r="AJ441" i="2"/>
  <c r="AK441" i="2" s="1"/>
  <c r="AL441" i="2" s="1"/>
  <c r="AM441" i="2" s="1"/>
  <c r="AO441" i="2" s="1"/>
  <c r="AJ386" i="2"/>
  <c r="AK386" i="2" s="1"/>
  <c r="AJ369" i="2"/>
  <c r="W369" i="2"/>
  <c r="X369" i="2" s="1"/>
  <c r="Y369" i="2" s="1"/>
  <c r="AJ318" i="2"/>
  <c r="W318" i="2"/>
  <c r="X318" i="2" s="1"/>
  <c r="Y318" i="2" s="1"/>
  <c r="W276" i="2"/>
  <c r="X276" i="2" s="1"/>
  <c r="Y276" i="2" s="1"/>
  <c r="AJ173" i="2"/>
  <c r="AK173" i="2" s="1"/>
  <c r="AK222" i="2"/>
  <c r="AL222" i="2" s="1"/>
  <c r="AM222" i="2" s="1"/>
  <c r="AO222" i="2" s="1"/>
  <c r="AJ292" i="2"/>
  <c r="W292" i="2"/>
  <c r="X292" i="2" s="1"/>
  <c r="Y292" i="2" s="1"/>
  <c r="AJ127" i="2"/>
  <c r="W127" i="2"/>
  <c r="X127" i="2" s="1"/>
  <c r="Y127" i="2" s="1"/>
  <c r="AK623" i="2"/>
  <c r="AL623" i="2" s="1"/>
  <c r="AM623" i="2" s="1"/>
  <c r="AO623" i="2" s="1"/>
  <c r="AJ695" i="2"/>
  <c r="W695" i="2"/>
  <c r="X695" i="2" s="1"/>
  <c r="Y695" i="2" s="1"/>
  <c r="AJ626" i="2"/>
  <c r="X626" i="2"/>
  <c r="Y626" i="2" s="1"/>
  <c r="AJ564" i="2"/>
  <c r="AK564" i="2" s="1"/>
  <c r="AL564" i="2" s="1"/>
  <c r="AM564" i="2" s="1"/>
  <c r="AO564" i="2" s="1"/>
  <c r="AK580" i="2"/>
  <c r="AL580" i="2" s="1"/>
  <c r="AM580" i="2" s="1"/>
  <c r="AO580" i="2" s="1"/>
  <c r="AK435" i="2"/>
  <c r="AL435" i="2" s="1"/>
  <c r="AM435" i="2" s="1"/>
  <c r="AO435" i="2" s="1"/>
  <c r="AJ569" i="2"/>
  <c r="W569" i="2"/>
  <c r="X569" i="2" s="1"/>
  <c r="Y569" i="2" s="1"/>
  <c r="AK569" i="2" s="1"/>
  <c r="AL569" i="2" s="1"/>
  <c r="AM569" i="2" s="1"/>
  <c r="AO569" i="2" s="1"/>
  <c r="AJ513" i="2"/>
  <c r="W513" i="2"/>
  <c r="X513" i="2" s="1"/>
  <c r="Y513" i="2" s="1"/>
  <c r="AJ606" i="2"/>
  <c r="X606" i="2"/>
  <c r="Y606" i="2" s="1"/>
  <c r="AK361" i="2"/>
  <c r="AJ317" i="2"/>
  <c r="AK317" i="2" s="1"/>
  <c r="AK287" i="2"/>
  <c r="AL287" i="2" s="1"/>
  <c r="AM287" i="2" s="1"/>
  <c r="AJ230" i="2"/>
  <c r="AK230" i="2" s="1"/>
  <c r="W197" i="2"/>
  <c r="X197" i="2" s="1"/>
  <c r="Y197" i="2" s="1"/>
  <c r="AJ197" i="2"/>
  <c r="AN116" i="2"/>
  <c r="AO116" i="2" s="1"/>
  <c r="AJ30" i="2"/>
  <c r="AK30" i="2" s="1"/>
  <c r="AL30" i="2" s="1"/>
  <c r="AM30" i="2" s="1"/>
  <c r="AK36" i="2"/>
  <c r="AL36" i="2" s="1"/>
  <c r="AM36" i="2" s="1"/>
  <c r="AO36" i="2" s="1"/>
  <c r="AJ101" i="2"/>
  <c r="W101" i="2"/>
  <c r="X101" i="2" s="1"/>
  <c r="Y101" i="2" s="1"/>
  <c r="AJ159" i="2"/>
  <c r="AJ70" i="2"/>
  <c r="W70" i="2"/>
  <c r="X70" i="2" s="1"/>
  <c r="Y70" i="2" s="1"/>
  <c r="AJ416" i="2"/>
  <c r="W416" i="2"/>
  <c r="X416" i="2" s="1"/>
  <c r="Y416" i="2" s="1"/>
  <c r="AL365" i="2"/>
  <c r="AM365" i="2" s="1"/>
  <c r="AO365" i="2" s="1"/>
  <c r="AJ316" i="2"/>
  <c r="AK316" i="2" s="1"/>
  <c r="X249" i="2"/>
  <c r="Y249" i="2" s="1"/>
  <c r="AJ249" i="2"/>
  <c r="AJ324" i="2"/>
  <c r="W324" i="2"/>
  <c r="X324" i="2" s="1"/>
  <c r="Y324" i="2" s="1"/>
  <c r="AJ389" i="2"/>
  <c r="W389" i="2"/>
  <c r="X389" i="2" s="1"/>
  <c r="Y389" i="2" s="1"/>
  <c r="AJ260" i="2"/>
  <c r="X260" i="2"/>
  <c r="Y260" i="2" s="1"/>
  <c r="AL340" i="2"/>
  <c r="AM340" i="2" s="1"/>
  <c r="AL231" i="2"/>
  <c r="AM231" i="2" s="1"/>
  <c r="AN231" i="2" s="1"/>
  <c r="W102" i="2"/>
  <c r="X102" i="2" s="1"/>
  <c r="Y102" i="2" s="1"/>
  <c r="AJ102" i="2"/>
  <c r="AJ149" i="2"/>
  <c r="W149" i="2"/>
  <c r="X149" i="2" s="1"/>
  <c r="Y149" i="2" s="1"/>
  <c r="W187" i="2"/>
  <c r="X187" i="2" s="1"/>
  <c r="Y187" i="2" s="1"/>
  <c r="AJ187" i="2"/>
  <c r="W57" i="2"/>
  <c r="X57" i="2" s="1"/>
  <c r="Y57" i="2" s="1"/>
  <c r="AJ57" i="2"/>
  <c r="AL158" i="2"/>
  <c r="AM158" i="2" s="1"/>
  <c r="AN158" i="2" s="1"/>
  <c r="H6" i="1"/>
  <c r="AJ86" i="2"/>
  <c r="W86" i="2"/>
  <c r="X86" i="2" s="1"/>
  <c r="Y86" i="2" s="1"/>
  <c r="AK24" i="2"/>
  <c r="AL24" i="2" s="1"/>
  <c r="AM24" i="2" s="1"/>
  <c r="AO24" i="2" s="1"/>
  <c r="AJ50" i="2"/>
  <c r="AK50" i="2" s="1"/>
  <c r="AL50" i="2" s="1"/>
  <c r="AM50" i="2" s="1"/>
  <c r="AO50" i="2" s="1"/>
  <c r="X358" i="2"/>
  <c r="Y358" i="2" s="1"/>
  <c r="AJ358" i="2"/>
  <c r="X424" i="2"/>
  <c r="Y424" i="2" s="1"/>
  <c r="AJ424" i="2"/>
  <c r="Y302" i="2"/>
  <c r="AJ302" i="2"/>
  <c r="X302" i="2"/>
  <c r="W302" i="2"/>
  <c r="AJ335" i="2"/>
  <c r="AL376" i="2"/>
  <c r="AM376" i="2" s="1"/>
  <c r="AK285" i="2"/>
  <c r="AL285" i="2" s="1"/>
  <c r="AM285" i="2" s="1"/>
  <c r="AO285" i="2" s="1"/>
  <c r="AL170" i="2"/>
  <c r="AM170" i="2" s="1"/>
  <c r="AN170" i="2" s="1"/>
  <c r="AJ44" i="2"/>
  <c r="AK44" i="2" s="1"/>
  <c r="AL44" i="2" s="1"/>
  <c r="AM44" i="2" s="1"/>
  <c r="AO44" i="2" s="1"/>
  <c r="AK158" i="2"/>
  <c r="AK56" i="2"/>
  <c r="AL56" i="2" s="1"/>
  <c r="AM56" i="2" s="1"/>
  <c r="AO56" i="2" s="1"/>
  <c r="G6" i="1"/>
  <c r="AJ80" i="2"/>
  <c r="W181" i="2"/>
  <c r="X181" i="2" s="1"/>
  <c r="Y181" i="2" s="1"/>
  <c r="AJ181" i="2"/>
  <c r="AJ40" i="2"/>
  <c r="AJ376" i="2"/>
  <c r="AJ212" i="2"/>
  <c r="X340" i="2"/>
  <c r="Y340" i="2" s="1"/>
  <c r="AK340" i="2" s="1"/>
  <c r="W340" i="2"/>
  <c r="AJ340" i="2"/>
  <c r="AJ210" i="2"/>
  <c r="W210" i="2"/>
  <c r="X210" i="2" s="1"/>
  <c r="Y210" i="2" s="1"/>
  <c r="AK277" i="2"/>
  <c r="AL277" i="2" s="1"/>
  <c r="AM277" i="2" s="1"/>
  <c r="AO277" i="2" s="1"/>
  <c r="AL119" i="2"/>
  <c r="AM119" i="2" s="1"/>
  <c r="AO119" i="2" s="1"/>
  <c r="AK97" i="2"/>
  <c r="AL97" i="2" s="1"/>
  <c r="AM97" i="2" s="1"/>
  <c r="X64" i="2"/>
  <c r="Y64" i="2" s="1"/>
  <c r="AJ64" i="2"/>
  <c r="AK115" i="2"/>
  <c r="AL115" i="2" s="1"/>
  <c r="AM115" i="2" s="1"/>
  <c r="AO115" i="2" s="1"/>
  <c r="AJ94" i="2"/>
  <c r="W94" i="2"/>
  <c r="X94" i="2" s="1"/>
  <c r="Y94" i="2" s="1"/>
  <c r="J10" i="1"/>
  <c r="AL107" i="2"/>
  <c r="AM107" i="2" s="1"/>
  <c r="AN107" i="2" s="1"/>
  <c r="AK168" i="2"/>
  <c r="AL71" i="2"/>
  <c r="AM71" i="2" s="1"/>
  <c r="AL5" i="2"/>
  <c r="AM5" i="2" s="1"/>
  <c r="AJ748" i="2"/>
  <c r="X755" i="2"/>
  <c r="Y755" i="2" s="1"/>
  <c r="AJ755" i="2"/>
  <c r="AJ619" i="2"/>
  <c r="AJ704" i="2"/>
  <c r="W704" i="2"/>
  <c r="X704" i="2" s="1"/>
  <c r="Y704" i="2" s="1"/>
  <c r="AJ641" i="2"/>
  <c r="W641" i="2"/>
  <c r="X641" i="2" s="1"/>
  <c r="Y641" i="2" s="1"/>
  <c r="AK641" i="2" s="1"/>
  <c r="AL641" i="2" s="1"/>
  <c r="AM641" i="2" s="1"/>
  <c r="AO641" i="2" s="1"/>
  <c r="X570" i="2"/>
  <c r="Y570" i="2" s="1"/>
  <c r="AJ570" i="2"/>
  <c r="W619" i="2"/>
  <c r="X619" i="2" s="1"/>
  <c r="Y619" i="2" s="1"/>
  <c r="AK499" i="2"/>
  <c r="AL499" i="2" s="1"/>
  <c r="AM499" i="2" s="1"/>
  <c r="AO499" i="2" s="1"/>
  <c r="AJ452" i="2"/>
  <c r="W452" i="2"/>
  <c r="X452" i="2" s="1"/>
  <c r="Y452" i="2" s="1"/>
  <c r="AJ355" i="2"/>
  <c r="X355" i="2"/>
  <c r="Y355" i="2" s="1"/>
  <c r="X367" i="2"/>
  <c r="Y367" i="2" s="1"/>
  <c r="AJ367" i="2"/>
  <c r="AL310" i="2"/>
  <c r="AM310" i="2" s="1"/>
  <c r="AL313" i="2"/>
  <c r="AM313" i="2" s="1"/>
  <c r="W283" i="2"/>
  <c r="X283" i="2" s="1"/>
  <c r="Y283" i="2" s="1"/>
  <c r="AJ283" i="2"/>
  <c r="X174" i="2"/>
  <c r="Y174" i="2" s="1"/>
  <c r="AJ174" i="2"/>
  <c r="X141" i="2"/>
  <c r="Y141" i="2" s="1"/>
  <c r="AJ141" i="2"/>
  <c r="W85" i="2"/>
  <c r="X85" i="2" s="1"/>
  <c r="Y85" i="2" s="1"/>
  <c r="AJ85" i="2"/>
  <c r="X111" i="2"/>
  <c r="Y111" i="2" s="1"/>
  <c r="AJ111" i="2"/>
  <c r="W347" i="2"/>
  <c r="X347" i="2" s="1"/>
  <c r="Y347" i="2" s="1"/>
  <c r="AJ347" i="2"/>
  <c r="AK61" i="2"/>
  <c r="AL61" i="2" s="1"/>
  <c r="AM61" i="2" s="1"/>
  <c r="AO61" i="2" s="1"/>
  <c r="X199" i="2"/>
  <c r="Y199" i="2" s="1"/>
  <c r="AJ199" i="2"/>
  <c r="W204" i="2"/>
  <c r="X204" i="2" s="1"/>
  <c r="Y204" i="2" s="1"/>
  <c r="AJ204" i="2"/>
  <c r="AJ201" i="2"/>
  <c r="W213" i="2"/>
  <c r="X213" i="2" s="1"/>
  <c r="Y213" i="2" s="1"/>
  <c r="AJ213" i="2"/>
  <c r="X93" i="2"/>
  <c r="Y93" i="2" s="1"/>
  <c r="AJ93" i="2"/>
  <c r="AJ95" i="2"/>
  <c r="AK95" i="2" s="1"/>
  <c r="AL95" i="2" s="1"/>
  <c r="AM95" i="2" s="1"/>
  <c r="AO95" i="2" s="1"/>
  <c r="W212" i="2"/>
  <c r="X212" i="2" s="1"/>
  <c r="Y212" i="2" s="1"/>
  <c r="W150" i="2"/>
  <c r="X150" i="2" s="1"/>
  <c r="Y150" i="2" s="1"/>
  <c r="AJ150" i="2"/>
  <c r="AK132" i="2"/>
  <c r="AL105" i="2"/>
  <c r="AM105" i="2" s="1"/>
  <c r="AN105" i="2" s="1"/>
  <c r="AJ6" i="2"/>
  <c r="X6" i="2"/>
  <c r="Y6" i="2" s="1"/>
  <c r="AL152" i="2"/>
  <c r="AM152" i="2" s="1"/>
  <c r="W195" i="2"/>
  <c r="X195" i="2" s="1"/>
  <c r="Y195" i="2" s="1"/>
  <c r="AJ195" i="2"/>
  <c r="W172" i="2"/>
  <c r="X172" i="2" s="1"/>
  <c r="Y172" i="2" s="1"/>
  <c r="AJ172" i="2"/>
  <c r="AJ62" i="2"/>
  <c r="W62" i="2"/>
  <c r="X62" i="2" s="1"/>
  <c r="Y62" i="2" s="1"/>
  <c r="AK62" i="2" s="1"/>
  <c r="AL62" i="2" s="1"/>
  <c r="AM62" i="2" s="1"/>
  <c r="AO62" i="2" s="1"/>
  <c r="AJ152" i="2"/>
  <c r="X152" i="2"/>
  <c r="Y152" i="2" s="1"/>
  <c r="AL51" i="2"/>
  <c r="AM51" i="2" s="1"/>
  <c r="Y104" i="2"/>
  <c r="X104" i="2"/>
  <c r="AJ104" i="2"/>
  <c r="AJ263" i="2"/>
  <c r="W376" i="2"/>
  <c r="X376" i="2" s="1"/>
  <c r="Y376" i="2" s="1"/>
  <c r="AL311" i="2"/>
  <c r="AM311" i="2" s="1"/>
  <c r="AJ360" i="2"/>
  <c r="W263" i="2"/>
  <c r="X263" i="2" s="1"/>
  <c r="Y263" i="2" s="1"/>
  <c r="Y301" i="2"/>
  <c r="W301" i="2"/>
  <c r="AJ301" i="2"/>
  <c r="X301" i="2"/>
  <c r="W89" i="2"/>
  <c r="X89" i="2" s="1"/>
  <c r="Y89" i="2" s="1"/>
  <c r="AJ89" i="2"/>
  <c r="AL321" i="2"/>
  <c r="AM321" i="2" s="1"/>
  <c r="AK42" i="2"/>
  <c r="AL42" i="2" s="1"/>
  <c r="AM42" i="2" s="1"/>
  <c r="AO42" i="2" s="1"/>
  <c r="AK8" i="2"/>
  <c r="AL8" i="2" s="1"/>
  <c r="AM8" i="2" s="1"/>
  <c r="AL166" i="2"/>
  <c r="AM166" i="2" s="1"/>
  <c r="AN166" i="2" s="1"/>
  <c r="X109" i="2"/>
  <c r="Y109" i="2" s="1"/>
  <c r="AJ109" i="2"/>
  <c r="Y43" i="2"/>
  <c r="AJ43" i="2"/>
  <c r="X43" i="2"/>
  <c r="AK39" i="2"/>
  <c r="AL39" i="2" s="1"/>
  <c r="AM39" i="2" s="1"/>
  <c r="AK227" i="2"/>
  <c r="W41" i="2"/>
  <c r="X41" i="2" s="1"/>
  <c r="Y41" i="2" s="1"/>
  <c r="AJ41" i="2"/>
  <c r="AL229" i="2"/>
  <c r="AM229" i="2" s="1"/>
  <c r="AN229" i="2" s="1"/>
  <c r="AJ78" i="2"/>
  <c r="W78" i="2"/>
  <c r="X78" i="2" s="1"/>
  <c r="Y78" i="2" s="1"/>
  <c r="AJ72" i="2"/>
  <c r="J7" i="1"/>
  <c r="E6" i="1"/>
  <c r="W159" i="2"/>
  <c r="X159" i="2" s="1"/>
  <c r="Y159" i="2" s="1"/>
  <c r="W54" i="2"/>
  <c r="X54" i="2" s="1"/>
  <c r="Y54" i="2" s="1"/>
  <c r="AJ54" i="2"/>
  <c r="F6" i="1"/>
  <c r="W142" i="2"/>
  <c r="X142" i="2" s="1"/>
  <c r="Y142" i="2" s="1"/>
  <c r="AJ142" i="2"/>
  <c r="W229" i="2"/>
  <c r="X229" i="2" s="1"/>
  <c r="Y229" i="2" s="1"/>
  <c r="AJ229" i="2"/>
  <c r="X408" i="2"/>
  <c r="Y408" i="2" s="1"/>
  <c r="AJ408" i="2"/>
  <c r="AJ351" i="2"/>
  <c r="AJ309" i="2"/>
  <c r="W309" i="2"/>
  <c r="X309" i="2" s="1"/>
  <c r="Y309" i="2" s="1"/>
  <c r="X504" i="2"/>
  <c r="Y504" i="2" s="1"/>
  <c r="AJ504" i="2"/>
  <c r="W331" i="2"/>
  <c r="X331" i="2" s="1"/>
  <c r="Y331" i="2" s="1"/>
  <c r="AJ331" i="2"/>
  <c r="AJ295" i="2"/>
  <c r="W295" i="2"/>
  <c r="X295" i="2" s="1"/>
  <c r="Y295" i="2" s="1"/>
  <c r="AL390" i="2"/>
  <c r="AM390" i="2" s="1"/>
  <c r="AL234" i="2"/>
  <c r="AM234" i="2" s="1"/>
  <c r="W201" i="2"/>
  <c r="X201" i="2" s="1"/>
  <c r="Y201" i="2" s="1"/>
  <c r="W53" i="2"/>
  <c r="X53" i="2" s="1"/>
  <c r="Y53" i="2" s="1"/>
  <c r="AJ53" i="2"/>
  <c r="P6" i="1"/>
  <c r="AK49" i="2"/>
  <c r="AL49" i="2" s="1"/>
  <c r="AM49" i="2" s="1"/>
  <c r="AO49" i="2" s="1"/>
  <c r="AJ69" i="2"/>
  <c r="W69" i="2"/>
  <c r="X69" i="2" s="1"/>
  <c r="Y69" i="2" s="1"/>
  <c r="AJ59" i="2"/>
  <c r="W59" i="2"/>
  <c r="X59" i="2" s="1"/>
  <c r="Y59" i="2" s="1"/>
  <c r="W40" i="2"/>
  <c r="X40" i="2" s="1"/>
  <c r="Y40" i="2" s="1"/>
  <c r="AL55" i="2"/>
  <c r="AM55" i="2" s="1"/>
  <c r="AO55" i="2" s="1"/>
  <c r="AJ779" i="2"/>
  <c r="W779" i="2"/>
  <c r="X779" i="2" s="1"/>
  <c r="Y779" i="2" s="1"/>
  <c r="W748" i="2"/>
  <c r="X748" i="2" s="1"/>
  <c r="Y748" i="2" s="1"/>
  <c r="AJ700" i="2"/>
  <c r="X700" i="2"/>
  <c r="Y700" i="2" s="1"/>
  <c r="AL657" i="2"/>
  <c r="AM657" i="2" s="1"/>
  <c r="AJ618" i="2"/>
  <c r="AK618" i="2" s="1"/>
  <c r="AL618" i="2" s="1"/>
  <c r="AM618" i="2" s="1"/>
  <c r="AO618" i="2" s="1"/>
  <c r="AO519" i="2"/>
  <c r="W552" i="2"/>
  <c r="X552" i="2" s="1"/>
  <c r="Y552" i="2" s="1"/>
  <c r="AJ552" i="2"/>
  <c r="X572" i="2"/>
  <c r="Y572" i="2" s="1"/>
  <c r="AJ572" i="2"/>
  <c r="AJ529" i="2"/>
  <c r="W529" i="2"/>
  <c r="X529" i="2" s="1"/>
  <c r="Y529" i="2" s="1"/>
  <c r="AL404" i="2"/>
  <c r="AM404" i="2" s="1"/>
  <c r="AO404" i="2" s="1"/>
  <c r="AL361" i="2"/>
  <c r="AM361" i="2" s="1"/>
  <c r="AL312" i="2"/>
  <c r="AM312" i="2" s="1"/>
  <c r="AL341" i="2"/>
  <c r="AM341" i="2" s="1"/>
  <c r="X328" i="2"/>
  <c r="Y328" i="2" s="1"/>
  <c r="AJ328" i="2"/>
  <c r="AL369" i="2"/>
  <c r="AM369" i="2" s="1"/>
  <c r="W360" i="2"/>
  <c r="X360" i="2" s="1"/>
  <c r="Y360" i="2" s="1"/>
  <c r="AL360" i="2"/>
  <c r="AM360" i="2" s="1"/>
  <c r="W219" i="2"/>
  <c r="X219" i="2" s="1"/>
  <c r="Y219" i="2" s="1"/>
  <c r="AJ219" i="2"/>
  <c r="AJ126" i="2"/>
  <c r="W126" i="2"/>
  <c r="X126" i="2" s="1"/>
  <c r="Y126" i="2" s="1"/>
  <c r="W72" i="2"/>
  <c r="X72" i="2" s="1"/>
  <c r="Y72" i="2" s="1"/>
  <c r="W73" i="2"/>
  <c r="X73" i="2" s="1"/>
  <c r="Y73" i="2" s="1"/>
  <c r="AJ73" i="2"/>
  <c r="AL153" i="2"/>
  <c r="AM153" i="2" s="1"/>
  <c r="AN153" i="2" s="1"/>
  <c r="W80" i="2"/>
  <c r="X80" i="2" s="1"/>
  <c r="Y80" i="2" s="1"/>
  <c r="AJ133" i="2"/>
  <c r="W133" i="2"/>
  <c r="X133" i="2" s="1"/>
  <c r="Y133" i="2" s="1"/>
  <c r="AJ22" i="2"/>
  <c r="X22" i="2"/>
  <c r="Y22" i="2" s="1"/>
  <c r="X699" i="2"/>
  <c r="Y699" i="2" s="1"/>
  <c r="AJ699" i="2"/>
  <c r="AJ663" i="2"/>
  <c r="X663" i="2"/>
  <c r="Y663" i="2" s="1"/>
  <c r="AJ656" i="2"/>
  <c r="X656" i="2"/>
  <c r="Y656" i="2" s="1"/>
  <c r="AJ545" i="2"/>
  <c r="W545" i="2"/>
  <c r="X545" i="2" s="1"/>
  <c r="Y545" i="2" s="1"/>
  <c r="X543" i="2"/>
  <c r="Y543" i="2" s="1"/>
  <c r="AJ543" i="2"/>
  <c r="AL325" i="2"/>
  <c r="AM325" i="2" s="1"/>
  <c r="X247" i="2"/>
  <c r="Y247" i="2" s="1"/>
  <c r="AJ247" i="2"/>
  <c r="AJ385" i="2"/>
  <c r="W385" i="2"/>
  <c r="X385" i="2" s="1"/>
  <c r="Y385" i="2" s="1"/>
  <c r="X281" i="2"/>
  <c r="Y281" i="2" s="1"/>
  <c r="AJ281" i="2"/>
  <c r="AJ325" i="2"/>
  <c r="W325" i="2"/>
  <c r="X325" i="2" s="1"/>
  <c r="Y325" i="2" s="1"/>
  <c r="X183" i="2"/>
  <c r="Y183" i="2" s="1"/>
  <c r="AJ183" i="2"/>
  <c r="AJ185" i="2"/>
  <c r="W185" i="2"/>
  <c r="X185" i="2" s="1"/>
  <c r="Y185" i="2" s="1"/>
  <c r="AK185" i="2" s="1"/>
  <c r="AL185" i="2" s="1"/>
  <c r="AM185" i="2" s="1"/>
  <c r="AO185" i="2" s="1"/>
  <c r="AJ179" i="2"/>
  <c r="AK179" i="2" s="1"/>
  <c r="AO139" i="2"/>
  <c r="AL358" i="2"/>
  <c r="AM358" i="2" s="1"/>
  <c r="AK81" i="2"/>
  <c r="AL81" i="2" s="1"/>
  <c r="AM81" i="2" s="1"/>
  <c r="AO81" i="2" s="1"/>
  <c r="AK130" i="2"/>
  <c r="W66" i="2"/>
  <c r="X66" i="2" s="1"/>
  <c r="Y66" i="2" s="1"/>
  <c r="AJ66" i="2"/>
  <c r="AJ670" i="2"/>
  <c r="W670" i="2"/>
  <c r="X670" i="2" s="1"/>
  <c r="Y670" i="2" s="1"/>
  <c r="AJ764" i="2"/>
  <c r="AK764" i="2" s="1"/>
  <c r="AL764" i="2" s="1"/>
  <c r="AM764" i="2" s="1"/>
  <c r="AO764" i="2" s="1"/>
  <c r="W751" i="2"/>
  <c r="X751" i="2" s="1"/>
  <c r="Y751" i="2" s="1"/>
  <c r="AJ751" i="2"/>
  <c r="X698" i="2"/>
  <c r="Y698" i="2" s="1"/>
  <c r="AJ698" i="2"/>
  <c r="AJ630" i="2"/>
  <c r="X630" i="2"/>
  <c r="Y630" i="2" s="1"/>
  <c r="AK630" i="2" s="1"/>
  <c r="AL630" i="2" s="1"/>
  <c r="AM630" i="2" s="1"/>
  <c r="AO630" i="2" s="1"/>
  <c r="W645" i="2"/>
  <c r="X645" i="2" s="1"/>
  <c r="Y645" i="2" s="1"/>
  <c r="AK645" i="2" s="1"/>
  <c r="AJ645" i="2"/>
  <c r="W609" i="2"/>
  <c r="X609" i="2" s="1"/>
  <c r="Y609" i="2" s="1"/>
  <c r="AJ609" i="2"/>
  <c r="W661" i="2"/>
  <c r="X661" i="2" s="1"/>
  <c r="Y661" i="2" s="1"/>
  <c r="AJ661" i="2"/>
  <c r="AJ635" i="2"/>
  <c r="W635" i="2"/>
  <c r="X635" i="2" s="1"/>
  <c r="Y635" i="2" s="1"/>
  <c r="X604" i="2"/>
  <c r="Y604" i="2" s="1"/>
  <c r="AJ604" i="2"/>
  <c r="W579" i="2"/>
  <c r="X579" i="2" s="1"/>
  <c r="Y579" i="2" s="1"/>
  <c r="AJ579" i="2"/>
  <c r="X447" i="2"/>
  <c r="Y447" i="2" s="1"/>
  <c r="AJ447" i="2"/>
  <c r="AJ421" i="2"/>
  <c r="W421" i="2"/>
  <c r="X421" i="2" s="1"/>
  <c r="Y421" i="2" s="1"/>
  <c r="W459" i="2"/>
  <c r="X459" i="2" s="1"/>
  <c r="Y459" i="2" s="1"/>
  <c r="AJ459" i="2"/>
  <c r="X440" i="2"/>
  <c r="Y440" i="2" s="1"/>
  <c r="AJ440" i="2"/>
  <c r="X463" i="2"/>
  <c r="Y463" i="2" s="1"/>
  <c r="AJ463" i="2"/>
  <c r="X374" i="2"/>
  <c r="Y374" i="2" s="1"/>
  <c r="AJ374" i="2"/>
  <c r="AJ337" i="2"/>
  <c r="W337" i="2"/>
  <c r="X337" i="2" s="1"/>
  <c r="Y337" i="2" s="1"/>
  <c r="AL329" i="2"/>
  <c r="AM329" i="2" s="1"/>
  <c r="W335" i="2"/>
  <c r="X335" i="2" s="1"/>
  <c r="Y335" i="2" s="1"/>
  <c r="AK336" i="2"/>
  <c r="W178" i="2"/>
  <c r="X178" i="2" s="1"/>
  <c r="Y178" i="2" s="1"/>
  <c r="AJ178" i="2"/>
  <c r="AL374" i="2"/>
  <c r="AM374" i="2" s="1"/>
  <c r="W351" i="2"/>
  <c r="X351" i="2" s="1"/>
  <c r="Y351" i="2" s="1"/>
  <c r="W166" i="2"/>
  <c r="X166" i="2" s="1"/>
  <c r="Y166" i="2" s="1"/>
  <c r="AJ166" i="2"/>
  <c r="W118" i="2"/>
  <c r="X118" i="2" s="1"/>
  <c r="Y118" i="2" s="1"/>
  <c r="AJ118" i="2"/>
  <c r="AO65" i="2"/>
  <c r="AL65" i="2"/>
  <c r="AM65" i="2" s="1"/>
  <c r="AJ117" i="2"/>
  <c r="W117" i="2"/>
  <c r="X117" i="2" s="1"/>
  <c r="Y117" i="2" s="1"/>
  <c r="AK31" i="2"/>
  <c r="AL31" i="2" s="1"/>
  <c r="AM31" i="2" s="1"/>
  <c r="AO31" i="2" s="1"/>
  <c r="W267" i="2"/>
  <c r="X267" i="2" s="1"/>
  <c r="Y267" i="2" s="1"/>
  <c r="AJ267" i="2"/>
  <c r="X125" i="2"/>
  <c r="Y125" i="2" s="1"/>
  <c r="AJ125" i="2"/>
  <c r="AK327" i="2" l="1"/>
  <c r="AK984" i="2"/>
  <c r="AL984" i="2" s="1"/>
  <c r="AM984" i="2" s="1"/>
  <c r="AO984" i="2" s="1"/>
  <c r="AK703" i="2"/>
  <c r="AK1253" i="2"/>
  <c r="AL1253" i="2" s="1"/>
  <c r="AM1253" i="2" s="1"/>
  <c r="AO1253" i="2" s="1"/>
  <c r="AK638" i="2"/>
  <c r="AL638" i="2" s="1"/>
  <c r="AM638" i="2" s="1"/>
  <c r="AO638" i="2" s="1"/>
  <c r="AK561" i="2"/>
  <c r="AL561" i="2" s="1"/>
  <c r="AM561" i="2" s="1"/>
  <c r="AO561" i="2" s="1"/>
  <c r="AK604" i="2"/>
  <c r="AL604" i="2" s="1"/>
  <c r="AM604" i="2" s="1"/>
  <c r="AO604" i="2" s="1"/>
  <c r="AK1202" i="2"/>
  <c r="AK831" i="2"/>
  <c r="AL831" i="2" s="1"/>
  <c r="AM831" i="2" s="1"/>
  <c r="AO831" i="2" s="1"/>
  <c r="AK358" i="2"/>
  <c r="AK611" i="2"/>
  <c r="AL611" i="2" s="1"/>
  <c r="AM611" i="2" s="1"/>
  <c r="AO611" i="2" s="1"/>
  <c r="AK653" i="2"/>
  <c r="AK488" i="2"/>
  <c r="AL488" i="2" s="1"/>
  <c r="AM488" i="2" s="1"/>
  <c r="AO488" i="2" s="1"/>
  <c r="AK157" i="2"/>
  <c r="AK643" i="2"/>
  <c r="AL643" i="2" s="1"/>
  <c r="AM643" i="2" s="1"/>
  <c r="AO643" i="2" s="1"/>
  <c r="AK1033" i="2"/>
  <c r="AL1033" i="2" s="1"/>
  <c r="AM1033" i="2" s="1"/>
  <c r="AO1033" i="2" s="1"/>
  <c r="AK337" i="2"/>
  <c r="AK53" i="2"/>
  <c r="AL53" i="2" s="1"/>
  <c r="AM53" i="2" s="1"/>
  <c r="AO53" i="2" s="1"/>
  <c r="AK1129" i="2"/>
  <c r="AL1129" i="2" s="1"/>
  <c r="AM1129" i="2" s="1"/>
  <c r="AK431" i="2"/>
  <c r="AL431" i="2" s="1"/>
  <c r="AM431" i="2" s="1"/>
  <c r="AO431" i="2" s="1"/>
  <c r="AK403" i="2"/>
  <c r="AL403" i="2" s="1"/>
  <c r="AM403" i="2" s="1"/>
  <c r="AO403" i="2" s="1"/>
  <c r="AK957" i="2"/>
  <c r="AL957" i="2" s="1"/>
  <c r="AM957" i="2" s="1"/>
  <c r="AO957" i="2" s="1"/>
  <c r="AK279" i="2"/>
  <c r="AL279" i="2" s="1"/>
  <c r="AM279" i="2" s="1"/>
  <c r="AO279" i="2" s="1"/>
  <c r="AK109" i="2"/>
  <c r="AL109" i="2" s="1"/>
  <c r="AM109" i="2" s="1"/>
  <c r="AK465" i="2"/>
  <c r="AL465" i="2" s="1"/>
  <c r="AM465" i="2" s="1"/>
  <c r="AO465" i="2" s="1"/>
  <c r="AK959" i="2"/>
  <c r="AL959" i="2" s="1"/>
  <c r="AM959" i="2" s="1"/>
  <c r="AO959" i="2" s="1"/>
  <c r="AK1017" i="2"/>
  <c r="AL1017" i="2" s="1"/>
  <c r="AM1017" i="2" s="1"/>
  <c r="AO1017" i="2" s="1"/>
  <c r="AK1121" i="2"/>
  <c r="AL1121" i="2" s="1"/>
  <c r="AM1121" i="2" s="1"/>
  <c r="AK609" i="2"/>
  <c r="AL609" i="2" s="1"/>
  <c r="AM609" i="2" s="1"/>
  <c r="AO609" i="2" s="1"/>
  <c r="AK59" i="2"/>
  <c r="AL59" i="2" s="1"/>
  <c r="AM59" i="2" s="1"/>
  <c r="AO59" i="2" s="1"/>
  <c r="AK152" i="2"/>
  <c r="AK455" i="2"/>
  <c r="AL455" i="2" s="1"/>
  <c r="AM455" i="2" s="1"/>
  <c r="AO455" i="2" s="1"/>
  <c r="AK126" i="2"/>
  <c r="AL126" i="2" s="1"/>
  <c r="AM126" i="2" s="1"/>
  <c r="AK991" i="2"/>
  <c r="AL991" i="2" s="1"/>
  <c r="AM991" i="2" s="1"/>
  <c r="AO991" i="2" s="1"/>
  <c r="AK879" i="2"/>
  <c r="AL879" i="2" s="1"/>
  <c r="AM879" i="2" s="1"/>
  <c r="AO879" i="2" s="1"/>
  <c r="AK1242" i="2"/>
  <c r="AL1242" i="2" s="1"/>
  <c r="AM1242" i="2" s="1"/>
  <c r="AK94" i="2"/>
  <c r="AL94" i="2" s="1"/>
  <c r="AM94" i="2" s="1"/>
  <c r="AO94" i="2" s="1"/>
  <c r="AK771" i="2"/>
  <c r="AL771" i="2" s="1"/>
  <c r="AM771" i="2" s="1"/>
  <c r="AO771" i="2" s="1"/>
  <c r="AK321" i="2"/>
  <c r="AK1217" i="2"/>
  <c r="AL1217" i="2" s="1"/>
  <c r="AM1217" i="2" s="1"/>
  <c r="AO1217" i="2" s="1"/>
  <c r="AN900" i="2"/>
  <c r="AO900" i="2"/>
  <c r="AK93" i="2"/>
  <c r="AL93" i="2" s="1"/>
  <c r="AM93" i="2" s="1"/>
  <c r="AO93" i="2" s="1"/>
  <c r="AK626" i="2"/>
  <c r="AL626" i="2" s="1"/>
  <c r="AM626" i="2" s="1"/>
  <c r="AO626" i="2" s="1"/>
  <c r="AK194" i="2"/>
  <c r="AL194" i="2" s="1"/>
  <c r="AM194" i="2" s="1"/>
  <c r="AO194" i="2" s="1"/>
  <c r="AK497" i="2"/>
  <c r="AL497" i="2" s="1"/>
  <c r="AM497" i="2" s="1"/>
  <c r="AO497" i="2" s="1"/>
  <c r="AK654" i="2"/>
  <c r="AK1088" i="2"/>
  <c r="AL1088" i="2" s="1"/>
  <c r="AM1088" i="2" s="1"/>
  <c r="AO1088" i="2" s="1"/>
  <c r="AK1056" i="2"/>
  <c r="AL1056" i="2" s="1"/>
  <c r="AM1056" i="2" s="1"/>
  <c r="AO1056" i="2" s="1"/>
  <c r="AK892" i="2"/>
  <c r="AL892" i="2" s="1"/>
  <c r="AM892" i="2" s="1"/>
  <c r="AO892" i="2" s="1"/>
  <c r="AK680" i="2"/>
  <c r="AK577" i="2"/>
  <c r="AL577" i="2" s="1"/>
  <c r="AM577" i="2" s="1"/>
  <c r="AO577" i="2" s="1"/>
  <c r="AK593" i="2"/>
  <c r="AL593" i="2" s="1"/>
  <c r="AM593" i="2" s="1"/>
  <c r="AO593" i="2" s="1"/>
  <c r="AK1014" i="2"/>
  <c r="AL1014" i="2" s="1"/>
  <c r="AM1014" i="2" s="1"/>
  <c r="AO1014" i="2" s="1"/>
  <c r="AK622" i="2"/>
  <c r="AL622" i="2" s="1"/>
  <c r="AM622" i="2" s="1"/>
  <c r="AO622" i="2" s="1"/>
  <c r="AK863" i="2"/>
  <c r="AK1098" i="2"/>
  <c r="AK935" i="2"/>
  <c r="AL935" i="2" s="1"/>
  <c r="AM935" i="2" s="1"/>
  <c r="AO935" i="2" s="1"/>
  <c r="AK300" i="2"/>
  <c r="AL300" i="2" s="1"/>
  <c r="AM300" i="2" s="1"/>
  <c r="AO300" i="2" s="1"/>
  <c r="AK1144" i="2"/>
  <c r="AL1144" i="2" s="1"/>
  <c r="AM1144" i="2" s="1"/>
  <c r="AK311" i="2"/>
  <c r="AK101" i="2"/>
  <c r="AK872" i="2"/>
  <c r="AL872" i="2" s="1"/>
  <c r="AM872" i="2" s="1"/>
  <c r="AO872" i="2" s="1"/>
  <c r="AK632" i="2"/>
  <c r="AL632" i="2" s="1"/>
  <c r="AM632" i="2" s="1"/>
  <c r="AO632" i="2" s="1"/>
  <c r="AK968" i="2"/>
  <c r="AL968" i="2" s="1"/>
  <c r="AM968" i="2" s="1"/>
  <c r="AO968" i="2" s="1"/>
  <c r="AK415" i="2"/>
  <c r="AL415" i="2" s="1"/>
  <c r="AM415" i="2" s="1"/>
  <c r="AO415" i="2" s="1"/>
  <c r="AK707" i="2"/>
  <c r="AL707" i="2" s="1"/>
  <c r="AM707" i="2" s="1"/>
  <c r="AO707" i="2" s="1"/>
  <c r="AK77" i="2"/>
  <c r="AL77" i="2" s="1"/>
  <c r="AM77" i="2" s="1"/>
  <c r="AO77" i="2" s="1"/>
  <c r="AK1299" i="2"/>
  <c r="AL1299" i="2" s="1"/>
  <c r="AM1299" i="2" s="1"/>
  <c r="AO1299" i="2" s="1"/>
  <c r="AK882" i="2"/>
  <c r="AL882" i="2" s="1"/>
  <c r="AM882" i="2" s="1"/>
  <c r="AO882" i="2" s="1"/>
  <c r="AK347" i="2"/>
  <c r="AK178" i="2"/>
  <c r="AL178" i="2" s="1"/>
  <c r="AM178" i="2" s="1"/>
  <c r="AN178" i="2" s="1"/>
  <c r="AO178" i="2" s="1"/>
  <c r="AK309" i="2"/>
  <c r="AK355" i="2"/>
  <c r="AK210" i="2"/>
  <c r="AL210" i="2" s="1"/>
  <c r="AM210" i="2" s="1"/>
  <c r="AO210" i="2" s="1"/>
  <c r="AK86" i="2"/>
  <c r="AL86" i="2" s="1"/>
  <c r="AM86" i="2" s="1"/>
  <c r="AK929" i="2"/>
  <c r="AL929" i="2" s="1"/>
  <c r="AM929" i="2" s="1"/>
  <c r="AO929" i="2" s="1"/>
  <c r="AK746" i="2"/>
  <c r="AL746" i="2" s="1"/>
  <c r="AM746" i="2" s="1"/>
  <c r="AO746" i="2" s="1"/>
  <c r="AK1100" i="2"/>
  <c r="AO1140" i="2"/>
  <c r="AK1276" i="2"/>
  <c r="AK656" i="2"/>
  <c r="AK849" i="2"/>
  <c r="AL849" i="2" s="1"/>
  <c r="AM849" i="2" s="1"/>
  <c r="AK734" i="2"/>
  <c r="AL734" i="2" s="1"/>
  <c r="AM734" i="2" s="1"/>
  <c r="AO734" i="2" s="1"/>
  <c r="AK1161" i="2"/>
  <c r="AL1161" i="2" s="1"/>
  <c r="AM1161" i="2" s="1"/>
  <c r="AO1161" i="2" s="1"/>
  <c r="AK172" i="2"/>
  <c r="AL172" i="2" s="1"/>
  <c r="AM172" i="2" s="1"/>
  <c r="AK631" i="2"/>
  <c r="AL631" i="2" s="1"/>
  <c r="AM631" i="2" s="1"/>
  <c r="AO631" i="2" s="1"/>
  <c r="AK581" i="2"/>
  <c r="AL581" i="2" s="1"/>
  <c r="AM581" i="2" s="1"/>
  <c r="AO581" i="2" s="1"/>
  <c r="AK1120" i="2"/>
  <c r="AL1120" i="2" s="1"/>
  <c r="AM1120" i="2" s="1"/>
  <c r="AK1069" i="2"/>
  <c r="AL1069" i="2" s="1"/>
  <c r="AM1069" i="2" s="1"/>
  <c r="AO1069" i="2" s="1"/>
  <c r="AK1178" i="2"/>
  <c r="AL1178" i="2" s="1"/>
  <c r="AM1178" i="2" s="1"/>
  <c r="AO1178" i="2" s="1"/>
  <c r="AK912" i="2"/>
  <c r="AL912" i="2" s="1"/>
  <c r="AM912" i="2" s="1"/>
  <c r="AO912" i="2" s="1"/>
  <c r="AK449" i="2"/>
  <c r="AL449" i="2" s="1"/>
  <c r="AM449" i="2" s="1"/>
  <c r="AO449" i="2" s="1"/>
  <c r="AK585" i="2"/>
  <c r="AL585" i="2" s="1"/>
  <c r="AM585" i="2" s="1"/>
  <c r="AO585" i="2" s="1"/>
  <c r="AK228" i="2"/>
  <c r="AK1228" i="2"/>
  <c r="AL1228" i="2" s="1"/>
  <c r="AM1228" i="2" s="1"/>
  <c r="AO1228" i="2" s="1"/>
  <c r="AK1046" i="2"/>
  <c r="AL1046" i="2" s="1"/>
  <c r="AM1046" i="2" s="1"/>
  <c r="AO1046" i="2" s="1"/>
  <c r="AK1085" i="2"/>
  <c r="AL1085" i="2" s="1"/>
  <c r="AM1085" i="2" s="1"/>
  <c r="AO1085" i="2" s="1"/>
  <c r="AK1157" i="2"/>
  <c r="AL1157" i="2" s="1"/>
  <c r="AM1157" i="2" s="1"/>
  <c r="AO1157" i="2" s="1"/>
  <c r="AK204" i="2"/>
  <c r="AL204" i="2" s="1"/>
  <c r="AM204" i="2" s="1"/>
  <c r="AO204" i="2" s="1"/>
  <c r="AK781" i="2"/>
  <c r="AL781" i="2" s="1"/>
  <c r="AM781" i="2" s="1"/>
  <c r="AO781" i="2" s="1"/>
  <c r="AK1113" i="2"/>
  <c r="AL1113" i="2" s="1"/>
  <c r="AM1113" i="2" s="1"/>
  <c r="AO1113" i="2" s="1"/>
  <c r="AK73" i="2"/>
  <c r="AK183" i="2"/>
  <c r="AL183" i="2" s="1"/>
  <c r="AM183" i="2" s="1"/>
  <c r="AK1070" i="2"/>
  <c r="AL1070" i="2" s="1"/>
  <c r="AM1070" i="2" s="1"/>
  <c r="AO1070" i="2" s="1"/>
  <c r="Q10" i="1"/>
  <c r="AK833" i="2"/>
  <c r="AL833" i="2" s="1"/>
  <c r="AM833" i="2" s="1"/>
  <c r="AN833" i="2" s="1"/>
  <c r="AK342" i="2"/>
  <c r="AK860" i="2"/>
  <c r="AL860" i="2" s="1"/>
  <c r="AM860" i="2" s="1"/>
  <c r="AO860" i="2" s="1"/>
  <c r="Q17" i="1" s="1"/>
  <c r="AK601" i="2"/>
  <c r="AL601" i="2" s="1"/>
  <c r="AM601" i="2" s="1"/>
  <c r="AO601" i="2" s="1"/>
  <c r="AK1142" i="2"/>
  <c r="AL1142" i="2" s="1"/>
  <c r="AM1142" i="2" s="1"/>
  <c r="AO1142" i="2" s="1"/>
  <c r="AK197" i="2"/>
  <c r="AL197" i="2" s="1"/>
  <c r="AM197" i="2" s="1"/>
  <c r="AO197" i="2" s="1"/>
  <c r="AK751" i="2"/>
  <c r="AL751" i="2" s="1"/>
  <c r="AM751" i="2" s="1"/>
  <c r="AO751" i="2" s="1"/>
  <c r="AK401" i="2"/>
  <c r="AL401" i="2" s="1"/>
  <c r="AM401" i="2" s="1"/>
  <c r="AO401" i="2" s="1"/>
  <c r="AK686" i="2"/>
  <c r="AL686" i="2" s="1"/>
  <c r="AM686" i="2" s="1"/>
  <c r="AO686" i="2" s="1"/>
  <c r="AK1101" i="2"/>
  <c r="AK54" i="2"/>
  <c r="AL54" i="2" s="1"/>
  <c r="AM54" i="2" s="1"/>
  <c r="AO54" i="2" s="1"/>
  <c r="AK911" i="2"/>
  <c r="AL911" i="2" s="1"/>
  <c r="AM911" i="2" s="1"/>
  <c r="AO91" i="2"/>
  <c r="AK663" i="2"/>
  <c r="AK606" i="2"/>
  <c r="AL606" i="2" s="1"/>
  <c r="AM606" i="2" s="1"/>
  <c r="AO606" i="2" s="1"/>
  <c r="AK127" i="2"/>
  <c r="AL127" i="2" s="1"/>
  <c r="AM127" i="2" s="1"/>
  <c r="AO127" i="2" s="1"/>
  <c r="AK1026" i="2"/>
  <c r="AL1026" i="2" s="1"/>
  <c r="AM1026" i="2" s="1"/>
  <c r="AO1026" i="2" s="1"/>
  <c r="AK919" i="2"/>
  <c r="AL919" i="2" s="1"/>
  <c r="AM919" i="2" s="1"/>
  <c r="AO919" i="2" s="1"/>
  <c r="AK789" i="2"/>
  <c r="AL789" i="2" s="1"/>
  <c r="AM789" i="2" s="1"/>
  <c r="AO789" i="2" s="1"/>
  <c r="AK938" i="2"/>
  <c r="AL938" i="2" s="1"/>
  <c r="AM938" i="2" s="1"/>
  <c r="AO938" i="2" s="1"/>
  <c r="AK721" i="2"/>
  <c r="AL721" i="2" s="1"/>
  <c r="AM721" i="2" s="1"/>
  <c r="AO721" i="2" s="1"/>
  <c r="AK774" i="2"/>
  <c r="AL774" i="2" s="1"/>
  <c r="AM774" i="2" s="1"/>
  <c r="AO774" i="2" s="1"/>
  <c r="AK1162" i="2"/>
  <c r="AL1162" i="2" s="1"/>
  <c r="AM1162" i="2" s="1"/>
  <c r="AO1162" i="2" s="1"/>
  <c r="AK89" i="2"/>
  <c r="AL89" i="2" s="1"/>
  <c r="AM89" i="2" s="1"/>
  <c r="AO89" i="2" s="1"/>
  <c r="AK1001" i="2"/>
  <c r="AL1001" i="2" s="1"/>
  <c r="AM1001" i="2" s="1"/>
  <c r="AO1001" i="2" s="1"/>
  <c r="AK315" i="2"/>
  <c r="AK1285" i="2"/>
  <c r="AL1285" i="2" s="1"/>
  <c r="AM1285" i="2" s="1"/>
  <c r="AO1285" i="2" s="1"/>
  <c r="AK111" i="2"/>
  <c r="AL111" i="2" s="1"/>
  <c r="AM111" i="2" s="1"/>
  <c r="AK206" i="2"/>
  <c r="AL206" i="2" s="1"/>
  <c r="AM206" i="2" s="1"/>
  <c r="AO206" i="2" s="1"/>
  <c r="AO10" i="2"/>
  <c r="AK440" i="2"/>
  <c r="AL440" i="2" s="1"/>
  <c r="AM440" i="2" s="1"/>
  <c r="AO440" i="2" s="1"/>
  <c r="AK762" i="2"/>
  <c r="AL762" i="2" s="1"/>
  <c r="AM762" i="2" s="1"/>
  <c r="AO762" i="2" s="1"/>
  <c r="AK1036" i="2"/>
  <c r="AL1036" i="2" s="1"/>
  <c r="AM1036" i="2" s="1"/>
  <c r="AO1036" i="2" s="1"/>
  <c r="AK859" i="2"/>
  <c r="AL859" i="2" s="1"/>
  <c r="AM859" i="2" s="1"/>
  <c r="AK955" i="2"/>
  <c r="AL955" i="2" s="1"/>
  <c r="AM955" i="2" s="1"/>
  <c r="AO955" i="2" s="1"/>
  <c r="AK174" i="2"/>
  <c r="AK360" i="2"/>
  <c r="AK118" i="2"/>
  <c r="AL118" i="2" s="1"/>
  <c r="AM118" i="2" s="1"/>
  <c r="AN118" i="2" s="1"/>
  <c r="AK408" i="2"/>
  <c r="AL408" i="2" s="1"/>
  <c r="AM408" i="2" s="1"/>
  <c r="AO408" i="2" s="1"/>
  <c r="AK295" i="2"/>
  <c r="AL295" i="2" s="1"/>
  <c r="AM295" i="2" s="1"/>
  <c r="AO295" i="2" s="1"/>
  <c r="AO32" i="2"/>
  <c r="AK324" i="2"/>
  <c r="AK344" i="2"/>
  <c r="AK422" i="2"/>
  <c r="AL422" i="2" s="1"/>
  <c r="AM422" i="2" s="1"/>
  <c r="AO422" i="2" s="1"/>
  <c r="AK806" i="2"/>
  <c r="AL806" i="2" s="1"/>
  <c r="AM806" i="2" s="1"/>
  <c r="AO806" i="2" s="1"/>
  <c r="AK1237" i="2"/>
  <c r="AL1237" i="2" s="1"/>
  <c r="AM1237" i="2" s="1"/>
  <c r="AO1237" i="2" s="1"/>
  <c r="AN1131" i="2"/>
  <c r="AO1131" i="2"/>
  <c r="AN1136" i="2"/>
  <c r="AO1136" i="2" s="1"/>
  <c r="AK899" i="2"/>
  <c r="AL899" i="2" s="1"/>
  <c r="AM899" i="2" s="1"/>
  <c r="AO899" i="2" s="1"/>
  <c r="AK133" i="2"/>
  <c r="AL133" i="2" s="1"/>
  <c r="AM133" i="2" s="1"/>
  <c r="AN133" i="2" s="1"/>
  <c r="AO133" i="2" s="1"/>
  <c r="AK700" i="2"/>
  <c r="AL700" i="2" s="1"/>
  <c r="AM700" i="2" s="1"/>
  <c r="AO700" i="2" s="1"/>
  <c r="AK159" i="2"/>
  <c r="AK389" i="2"/>
  <c r="AL389" i="2" s="1"/>
  <c r="AM389" i="2" s="1"/>
  <c r="AO389" i="2" s="1"/>
  <c r="AK574" i="2"/>
  <c r="AL574" i="2" s="1"/>
  <c r="AM574" i="2" s="1"/>
  <c r="AO574" i="2" s="1"/>
  <c r="AK554" i="2"/>
  <c r="AL554" i="2" s="1"/>
  <c r="AM554" i="2" s="1"/>
  <c r="AO554" i="2" s="1"/>
  <c r="AK936" i="2"/>
  <c r="AL936" i="2" s="1"/>
  <c r="AM936" i="2" s="1"/>
  <c r="AO936" i="2" s="1"/>
  <c r="AK1135" i="2"/>
  <c r="AL1135" i="2" s="1"/>
  <c r="AM1135" i="2" s="1"/>
  <c r="AN1135" i="2" s="1"/>
  <c r="AO1135" i="2" s="1"/>
  <c r="AK1083" i="2"/>
  <c r="AL1083" i="2" s="1"/>
  <c r="AM1083" i="2" s="1"/>
  <c r="AO1083" i="2" s="1"/>
  <c r="AK918" i="2"/>
  <c r="AL918" i="2" s="1"/>
  <c r="AM918" i="2" s="1"/>
  <c r="AO918" i="2" s="1"/>
  <c r="AK714" i="2"/>
  <c r="AK312" i="2"/>
  <c r="AK1152" i="2"/>
  <c r="AL1152" i="2" s="1"/>
  <c r="AM1152" i="2" s="1"/>
  <c r="AN1152" i="2" s="1"/>
  <c r="AO1152" i="2" s="1"/>
  <c r="AK1278" i="2"/>
  <c r="AK1175" i="2"/>
  <c r="AL1175" i="2" s="1"/>
  <c r="AM1175" i="2" s="1"/>
  <c r="AO1175" i="2" s="1"/>
  <c r="AK1210" i="2"/>
  <c r="AK836" i="2"/>
  <c r="AL836" i="2" s="1"/>
  <c r="AM836" i="2" s="1"/>
  <c r="AO836" i="2" s="1"/>
  <c r="AK647" i="2"/>
  <c r="AK786" i="2"/>
  <c r="AL786" i="2" s="1"/>
  <c r="AM786" i="2" s="1"/>
  <c r="AO786" i="2" s="1"/>
  <c r="AK1207" i="2"/>
  <c r="AL1207" i="2" s="1"/>
  <c r="AM1207" i="2" s="1"/>
  <c r="AN1207" i="2" s="1"/>
  <c r="AO1207" i="2" s="1"/>
  <c r="AK876" i="2"/>
  <c r="AL876" i="2" s="1"/>
  <c r="AM876" i="2" s="1"/>
  <c r="AO876" i="2" s="1"/>
  <c r="AK724" i="2"/>
  <c r="AL724" i="2" s="1"/>
  <c r="AM724" i="2" s="1"/>
  <c r="AO724" i="2" s="1"/>
  <c r="AK1206" i="2"/>
  <c r="AK150" i="2"/>
  <c r="AL150" i="2" s="1"/>
  <c r="AM150" i="2" s="1"/>
  <c r="AK292" i="2"/>
  <c r="AL292" i="2" s="1"/>
  <c r="AM292" i="2" s="1"/>
  <c r="AO292" i="2" s="1"/>
  <c r="AK897" i="2"/>
  <c r="AL897" i="2" s="1"/>
  <c r="AM897" i="2" s="1"/>
  <c r="AO897" i="2" s="1"/>
  <c r="AK702" i="2"/>
  <c r="AL702" i="2" s="1"/>
  <c r="AM702" i="2" s="1"/>
  <c r="AO702" i="2" s="1"/>
  <c r="AK439" i="2"/>
  <c r="AL439" i="2" s="1"/>
  <c r="AM439" i="2" s="1"/>
  <c r="AO439" i="2" s="1"/>
  <c r="AK846" i="2"/>
  <c r="AL846" i="2" s="1"/>
  <c r="AM846" i="2" s="1"/>
  <c r="AO846" i="2" s="1"/>
  <c r="AO258" i="2"/>
  <c r="AK696" i="2"/>
  <c r="AL696" i="2" s="1"/>
  <c r="AM696" i="2" s="1"/>
  <c r="AO696" i="2" s="1"/>
  <c r="AK637" i="2"/>
  <c r="AL637" i="2" s="1"/>
  <c r="AM637" i="2" s="1"/>
  <c r="AO637" i="2" s="1"/>
  <c r="AK231" i="2"/>
  <c r="AK406" i="2"/>
  <c r="AL406" i="2" s="1"/>
  <c r="AM406" i="2" s="1"/>
  <c r="AO406" i="2" s="1"/>
  <c r="AO1128" i="2"/>
  <c r="AK1196" i="2"/>
  <c r="AL1196" i="2" s="1"/>
  <c r="AM1196" i="2" s="1"/>
  <c r="AO1196" i="2" s="1"/>
  <c r="AK1049" i="2"/>
  <c r="AL1049" i="2" s="1"/>
  <c r="AM1049" i="2" s="1"/>
  <c r="AO1049" i="2" s="1"/>
  <c r="AK705" i="2"/>
  <c r="AK621" i="2"/>
  <c r="AL621" i="2" s="1"/>
  <c r="AM621" i="2" s="1"/>
  <c r="AO621" i="2" s="1"/>
  <c r="AK766" i="2"/>
  <c r="AL766" i="2" s="1"/>
  <c r="AM766" i="2" s="1"/>
  <c r="AO766" i="2" s="1"/>
  <c r="AK319" i="2"/>
  <c r="AK1011" i="2"/>
  <c r="AL1011" i="2" s="1"/>
  <c r="AM1011" i="2" s="1"/>
  <c r="AO1011" i="2" s="1"/>
  <c r="AK1193" i="2"/>
  <c r="AL1193" i="2" s="1"/>
  <c r="AM1193" i="2" s="1"/>
  <c r="AO1193" i="2" s="1"/>
  <c r="AK1335" i="2"/>
  <c r="AL1335" i="2" s="1"/>
  <c r="AM1335" i="2" s="1"/>
  <c r="AO1335" i="2" s="1"/>
  <c r="AK536" i="2"/>
  <c r="AL536" i="2" s="1"/>
  <c r="AM536" i="2" s="1"/>
  <c r="AO536" i="2" s="1"/>
  <c r="AK1013" i="2"/>
  <c r="AL1013" i="2" s="1"/>
  <c r="AM1013" i="2" s="1"/>
  <c r="AO1013" i="2" s="1"/>
  <c r="AK1164" i="2"/>
  <c r="AL1164" i="2" s="1"/>
  <c r="AM1164" i="2" s="1"/>
  <c r="AK1126" i="2"/>
  <c r="AL1126" i="2" s="1"/>
  <c r="AM1126" i="2" s="1"/>
  <c r="AO1126" i="2" s="1"/>
  <c r="AK797" i="2"/>
  <c r="AL797" i="2" s="1"/>
  <c r="AM797" i="2" s="1"/>
  <c r="AO797" i="2" s="1"/>
  <c r="AK249" i="2"/>
  <c r="AL249" i="2" s="1"/>
  <c r="AM249" i="2" s="1"/>
  <c r="AN249" i="2" s="1"/>
  <c r="AO249" i="2" s="1"/>
  <c r="AK1072" i="2"/>
  <c r="AL1072" i="2" s="1"/>
  <c r="AM1072" i="2" s="1"/>
  <c r="AO1072" i="2" s="1"/>
  <c r="AK903" i="2"/>
  <c r="AL903" i="2" s="1"/>
  <c r="AM903" i="2" s="1"/>
  <c r="AO903" i="2" s="1"/>
  <c r="AK835" i="2"/>
  <c r="AL835" i="2" s="1"/>
  <c r="AM835" i="2" s="1"/>
  <c r="AK504" i="2"/>
  <c r="AL504" i="2" s="1"/>
  <c r="AM504" i="2" s="1"/>
  <c r="AO504" i="2" s="1"/>
  <c r="AO121" i="2"/>
  <c r="AK187" i="2"/>
  <c r="AL187" i="2" s="1"/>
  <c r="AM187" i="2" s="1"/>
  <c r="AO187" i="2" s="1"/>
  <c r="AK670" i="2"/>
  <c r="AO290" i="2"/>
  <c r="AK529" i="2"/>
  <c r="AL529" i="2" s="1"/>
  <c r="AM529" i="2" s="1"/>
  <c r="AO529" i="2" s="1"/>
  <c r="AK85" i="2"/>
  <c r="AL85" i="2" s="1"/>
  <c r="AM85" i="2" s="1"/>
  <c r="AO85" i="2" s="1"/>
  <c r="AK924" i="2"/>
  <c r="AL924" i="2" s="1"/>
  <c r="AM924" i="2" s="1"/>
  <c r="AO924" i="2" s="1"/>
  <c r="AK952" i="2"/>
  <c r="AL952" i="2" s="1"/>
  <c r="AM952" i="2" s="1"/>
  <c r="AO952" i="2" s="1"/>
  <c r="AK620" i="2"/>
  <c r="AL620" i="2" s="1"/>
  <c r="AM620" i="2" s="1"/>
  <c r="AO620" i="2" s="1"/>
  <c r="AK436" i="2"/>
  <c r="AL436" i="2" s="1"/>
  <c r="AM436" i="2" s="1"/>
  <c r="AO436" i="2" s="1"/>
  <c r="AK472" i="2"/>
  <c r="AL472" i="2" s="1"/>
  <c r="AM472" i="2" s="1"/>
  <c r="AO472" i="2" s="1"/>
  <c r="AK852" i="2"/>
  <c r="AL852" i="2" s="1"/>
  <c r="AM852" i="2" s="1"/>
  <c r="AO852" i="2" s="1"/>
  <c r="AK1155" i="2"/>
  <c r="AL1155" i="2" s="1"/>
  <c r="AM1155" i="2" s="1"/>
  <c r="AN1155" i="2" s="1"/>
  <c r="AO1155" i="2" s="1"/>
  <c r="AK773" i="2"/>
  <c r="AL773" i="2" s="1"/>
  <c r="AM773" i="2" s="1"/>
  <c r="AO773" i="2" s="1"/>
  <c r="AK1258" i="2"/>
  <c r="AL1258" i="2" s="1"/>
  <c r="AM1258" i="2" s="1"/>
  <c r="AO1258" i="2" s="1"/>
  <c r="AK543" i="2"/>
  <c r="AL543" i="2" s="1"/>
  <c r="AM543" i="2" s="1"/>
  <c r="AO543" i="2" s="1"/>
  <c r="AK72" i="2"/>
  <c r="AL72" i="2" s="1"/>
  <c r="AM72" i="2" s="1"/>
  <c r="AO72" i="2" s="1"/>
  <c r="AK376" i="2"/>
  <c r="AK809" i="2"/>
  <c r="AL809" i="2" s="1"/>
  <c r="AM809" i="2" s="1"/>
  <c r="AO809" i="2" s="1"/>
  <c r="AK1018" i="2"/>
  <c r="AL1018" i="2" s="1"/>
  <c r="AM1018" i="2" s="1"/>
  <c r="AO1018" i="2" s="1"/>
  <c r="AK181" i="2"/>
  <c r="AK452" i="2"/>
  <c r="AL452" i="2" s="1"/>
  <c r="AM452" i="2" s="1"/>
  <c r="AO452" i="2" s="1"/>
  <c r="AK416" i="2"/>
  <c r="AL416" i="2" s="1"/>
  <c r="AM416" i="2" s="1"/>
  <c r="AO416" i="2" s="1"/>
  <c r="AK767" i="2"/>
  <c r="AL767" i="2" s="1"/>
  <c r="AM767" i="2" s="1"/>
  <c r="AO767" i="2" s="1"/>
  <c r="AK966" i="2"/>
  <c r="AL966" i="2" s="1"/>
  <c r="AM966" i="2" s="1"/>
  <c r="AO966" i="2" s="1"/>
  <c r="AK1066" i="2"/>
  <c r="AL1066" i="2" s="1"/>
  <c r="AM1066" i="2" s="1"/>
  <c r="AO1066" i="2" s="1"/>
  <c r="AK520" i="2"/>
  <c r="AL520" i="2" s="1"/>
  <c r="AM520" i="2" s="1"/>
  <c r="AO520" i="2" s="1"/>
  <c r="AK560" i="2"/>
  <c r="AL560" i="2" s="1"/>
  <c r="AM560" i="2" s="1"/>
  <c r="AO560" i="2" s="1"/>
  <c r="AK549" i="2"/>
  <c r="AL549" i="2" s="1"/>
  <c r="AM549" i="2" s="1"/>
  <c r="AO549" i="2" s="1"/>
  <c r="AK417" i="2"/>
  <c r="AL417" i="2" s="1"/>
  <c r="AM417" i="2" s="1"/>
  <c r="AO417" i="2" s="1"/>
  <c r="AK481" i="2"/>
  <c r="AL481" i="2" s="1"/>
  <c r="AM481" i="2" s="1"/>
  <c r="AO481" i="2" s="1"/>
  <c r="AK1180" i="2"/>
  <c r="AL1180" i="2" s="1"/>
  <c r="AM1180" i="2" s="1"/>
  <c r="AO1180" i="2" s="1"/>
  <c r="AK790" i="2"/>
  <c r="AL790" i="2" s="1"/>
  <c r="AM790" i="2" s="1"/>
  <c r="AO790" i="2" s="1"/>
  <c r="AK887" i="2"/>
  <c r="AL887" i="2" s="1"/>
  <c r="AM887" i="2" s="1"/>
  <c r="AO887" i="2" s="1"/>
  <c r="AK782" i="2"/>
  <c r="AL782" i="2" s="1"/>
  <c r="AM782" i="2" s="1"/>
  <c r="AO782" i="2" s="1"/>
  <c r="AK1205" i="2"/>
  <c r="AK661" i="2"/>
  <c r="AK788" i="2"/>
  <c r="AL788" i="2" s="1"/>
  <c r="AM788" i="2" s="1"/>
  <c r="AO788" i="2" s="1"/>
  <c r="AK421" i="2"/>
  <c r="AL421" i="2" s="1"/>
  <c r="AM421" i="2" s="1"/>
  <c r="AO421" i="2" s="1"/>
  <c r="AK66" i="2"/>
  <c r="AK6" i="2"/>
  <c r="AL6" i="2" s="1"/>
  <c r="AM6" i="2" s="1"/>
  <c r="AK102" i="2"/>
  <c r="AK802" i="2"/>
  <c r="AL802" i="2" s="1"/>
  <c r="AM802" i="2" s="1"/>
  <c r="AO802" i="2" s="1"/>
  <c r="AK727" i="2"/>
  <c r="AL727" i="2" s="1"/>
  <c r="AM727" i="2" s="1"/>
  <c r="AO727" i="2" s="1"/>
  <c r="AK930" i="2"/>
  <c r="AL930" i="2" s="1"/>
  <c r="AM930" i="2" s="1"/>
  <c r="AO930" i="2" s="1"/>
  <c r="AK1093" i="2"/>
  <c r="AK1075" i="2"/>
  <c r="AL1075" i="2" s="1"/>
  <c r="AM1075" i="2" s="1"/>
  <c r="AO1075" i="2" s="1"/>
  <c r="AK982" i="2"/>
  <c r="AK283" i="2"/>
  <c r="AL283" i="2" s="1"/>
  <c r="AM283" i="2" s="1"/>
  <c r="AO283" i="2" s="1"/>
  <c r="AK1267" i="2"/>
  <c r="AL1267" i="2" s="1"/>
  <c r="AM1267" i="2" s="1"/>
  <c r="AO1267" i="2" s="1"/>
  <c r="AK698" i="2"/>
  <c r="AL698" i="2" s="1"/>
  <c r="AM698" i="2" s="1"/>
  <c r="AO698" i="2" s="1"/>
  <c r="AK335" i="2"/>
  <c r="AO37" i="2"/>
  <c r="AK619" i="2"/>
  <c r="AL619" i="2" s="1"/>
  <c r="AM619" i="2" s="1"/>
  <c r="AO619" i="2" s="1"/>
  <c r="AK70" i="2"/>
  <c r="AL70" i="2" s="1"/>
  <c r="AM70" i="2" s="1"/>
  <c r="AO70" i="2" s="1"/>
  <c r="AK691" i="2"/>
  <c r="AL691" i="2" s="1"/>
  <c r="AM691" i="2" s="1"/>
  <c r="AO691" i="2" s="1"/>
  <c r="AK828" i="2"/>
  <c r="AL828" i="2" s="1"/>
  <c r="AM828" i="2" s="1"/>
  <c r="AN828" i="2" s="1"/>
  <c r="AK423" i="2"/>
  <c r="AL423" i="2" s="1"/>
  <c r="AM423" i="2" s="1"/>
  <c r="AO423" i="2" s="1"/>
  <c r="AK723" i="2"/>
  <c r="AL723" i="2" s="1"/>
  <c r="AM723" i="2" s="1"/>
  <c r="AO723" i="2" s="1"/>
  <c r="AK688" i="2"/>
  <c r="AL688" i="2" s="1"/>
  <c r="AM688" i="2" s="1"/>
  <c r="AO688" i="2" s="1"/>
  <c r="AK868" i="2"/>
  <c r="AK233" i="2"/>
  <c r="AK1319" i="2"/>
  <c r="AL1319" i="2" s="1"/>
  <c r="AM1319" i="2" s="1"/>
  <c r="AO1319" i="2" s="1"/>
  <c r="AK1063" i="2"/>
  <c r="AL1063" i="2" s="1"/>
  <c r="AM1063" i="2" s="1"/>
  <c r="AO1063" i="2" s="1"/>
  <c r="AK1110" i="2"/>
  <c r="AK1147" i="2"/>
  <c r="AL1147" i="2" s="1"/>
  <c r="AM1147" i="2" s="1"/>
  <c r="AO1147" i="2" s="1"/>
  <c r="AK829" i="2"/>
  <c r="AL829" i="2" s="1"/>
  <c r="AM829" i="2" s="1"/>
  <c r="AO829" i="2" s="1"/>
  <c r="AN1166" i="2"/>
  <c r="AO1166" i="2" s="1"/>
  <c r="AN211" i="2"/>
  <c r="AO211" i="2" s="1"/>
  <c r="AN1145" i="2"/>
  <c r="AO1145" i="2"/>
  <c r="AN1229" i="2"/>
  <c r="AO1229" i="2" s="1"/>
  <c r="AN883" i="2"/>
  <c r="AO883" i="2" s="1"/>
  <c r="AK908" i="2"/>
  <c r="AL908" i="2" s="1"/>
  <c r="AM908" i="2" s="1"/>
  <c r="AO908" i="2" s="1"/>
  <c r="AK41" i="2"/>
  <c r="AL41" i="2" s="1"/>
  <c r="AM41" i="2" s="1"/>
  <c r="AO41" i="2" s="1"/>
  <c r="AK664" i="2"/>
  <c r="AK648" i="2"/>
  <c r="AK1117" i="2"/>
  <c r="AL1117" i="2" s="1"/>
  <c r="AM1117" i="2" s="1"/>
  <c r="AN1117" i="2" s="1"/>
  <c r="AK1315" i="2"/>
  <c r="AL1315" i="2" s="1"/>
  <c r="AM1315" i="2" s="1"/>
  <c r="AO1315" i="2" s="1"/>
  <c r="AK367" i="2"/>
  <c r="AK351" i="2"/>
  <c r="AL351" i="2" s="1"/>
  <c r="AM351" i="2" s="1"/>
  <c r="AO351" i="2" s="1"/>
  <c r="AK195" i="2"/>
  <c r="AL195" i="2" s="1"/>
  <c r="AM195" i="2" s="1"/>
  <c r="AN195" i="2" s="1"/>
  <c r="AO195" i="2" s="1"/>
  <c r="AK117" i="2"/>
  <c r="AL117" i="2" s="1"/>
  <c r="AM117" i="2" s="1"/>
  <c r="AN117" i="2" s="1"/>
  <c r="AK325" i="2"/>
  <c r="AK545" i="2"/>
  <c r="AL545" i="2" s="1"/>
  <c r="AM545" i="2" s="1"/>
  <c r="AO545" i="2" s="1"/>
  <c r="AK328" i="2"/>
  <c r="AK69" i="2"/>
  <c r="AK695" i="2"/>
  <c r="AL695" i="2" s="1"/>
  <c r="AM695" i="2" s="1"/>
  <c r="AO695" i="2" s="1"/>
  <c r="AK318" i="2"/>
  <c r="AK813" i="2"/>
  <c r="AL813" i="2" s="1"/>
  <c r="AM813" i="2" s="1"/>
  <c r="AO813" i="2" s="1"/>
  <c r="AK689" i="2"/>
  <c r="AL689" i="2" s="1"/>
  <c r="AM689" i="2" s="1"/>
  <c r="AO689" i="2" s="1"/>
  <c r="AK830" i="2"/>
  <c r="AL830" i="2" s="1"/>
  <c r="AM830" i="2" s="1"/>
  <c r="AO830" i="2" s="1"/>
  <c r="AK644" i="2"/>
  <c r="AK946" i="2"/>
  <c r="AL946" i="2" s="1"/>
  <c r="AM946" i="2" s="1"/>
  <c r="AO946" i="2" s="1"/>
  <c r="AK973" i="2"/>
  <c r="AL973" i="2" s="1"/>
  <c r="AM973" i="2" s="1"/>
  <c r="AO973" i="2" s="1"/>
  <c r="AK310" i="2"/>
  <c r="AK456" i="2"/>
  <c r="AL456" i="2" s="1"/>
  <c r="AM456" i="2" s="1"/>
  <c r="AO456" i="2" s="1"/>
  <c r="AK854" i="2"/>
  <c r="AL854" i="2" s="1"/>
  <c r="AM854" i="2" s="1"/>
  <c r="AN854" i="2" s="1"/>
  <c r="AO854" i="2" s="1"/>
  <c r="AK1227" i="2"/>
  <c r="AL1227" i="2" s="1"/>
  <c r="AM1227" i="2" s="1"/>
  <c r="AO1227" i="2" s="1"/>
  <c r="AK728" i="2"/>
  <c r="AL728" i="2" s="1"/>
  <c r="AM728" i="2" s="1"/>
  <c r="AO728" i="2" s="1"/>
  <c r="AK331" i="2"/>
  <c r="AK213" i="2"/>
  <c r="AL213" i="2" s="1"/>
  <c r="AM213" i="2" s="1"/>
  <c r="AO213" i="2" s="1"/>
  <c r="AK141" i="2"/>
  <c r="AL141" i="2" s="1"/>
  <c r="AM141" i="2" s="1"/>
  <c r="AO141" i="2" s="1"/>
  <c r="AK399" i="2"/>
  <c r="AL399" i="2" s="1"/>
  <c r="AM399" i="2" s="1"/>
  <c r="AO399" i="2" s="1"/>
  <c r="AK353" i="2"/>
  <c r="AK718" i="2"/>
  <c r="AL718" i="2" s="1"/>
  <c r="AM718" i="2" s="1"/>
  <c r="AO718" i="2" s="1"/>
  <c r="AO137" i="2"/>
  <c r="AK420" i="2"/>
  <c r="AL420" i="2" s="1"/>
  <c r="AM420" i="2" s="1"/>
  <c r="AO420" i="2" s="1"/>
  <c r="AK563" i="2"/>
  <c r="AL563" i="2" s="1"/>
  <c r="AM563" i="2" s="1"/>
  <c r="AO563" i="2" s="1"/>
  <c r="AK341" i="2"/>
  <c r="AK1008" i="2"/>
  <c r="AL1008" i="2" s="1"/>
  <c r="AM1008" i="2" s="1"/>
  <c r="AO1008" i="2" s="1"/>
  <c r="AK1303" i="2"/>
  <c r="AL1303" i="2" s="1"/>
  <c r="AM1303" i="2" s="1"/>
  <c r="AO1303" i="2" s="1"/>
  <c r="AK1263" i="2"/>
  <c r="AL1263" i="2" s="1"/>
  <c r="AM1263" i="2" s="1"/>
  <c r="AO1263" i="2" s="1"/>
  <c r="AK1265" i="2"/>
  <c r="AL1265" i="2" s="1"/>
  <c r="AM1265" i="2" s="1"/>
  <c r="AO1265" i="2" s="1"/>
  <c r="AK1187" i="2"/>
  <c r="AL1187" i="2" s="1"/>
  <c r="AM1187" i="2" s="1"/>
  <c r="AO1187" i="2" s="1"/>
  <c r="AK730" i="2"/>
  <c r="AL730" i="2" s="1"/>
  <c r="AM730" i="2" s="1"/>
  <c r="AO730" i="2" s="1"/>
  <c r="AK1114" i="2"/>
  <c r="AL1114" i="2" s="1"/>
  <c r="AM1114" i="2" s="1"/>
  <c r="AN1114" i="2" s="1"/>
  <c r="O24" i="1"/>
  <c r="AK635" i="2"/>
  <c r="AL635" i="2" s="1"/>
  <c r="AM635" i="2" s="1"/>
  <c r="AO635" i="2" s="1"/>
  <c r="AK281" i="2"/>
  <c r="AL281" i="2" s="1"/>
  <c r="AM281" i="2" s="1"/>
  <c r="AO281" i="2" s="1"/>
  <c r="AK201" i="2"/>
  <c r="AL201" i="2" s="1"/>
  <c r="AM201" i="2" s="1"/>
  <c r="AN201" i="2" s="1"/>
  <c r="AO201" i="2" s="1"/>
  <c r="AK513" i="2"/>
  <c r="AL513" i="2" s="1"/>
  <c r="AM513" i="2" s="1"/>
  <c r="AO513" i="2" s="1"/>
  <c r="AK369" i="2"/>
  <c r="AK588" i="2"/>
  <c r="AL588" i="2" s="1"/>
  <c r="AM588" i="2" s="1"/>
  <c r="AO588" i="2" s="1"/>
  <c r="AK800" i="2"/>
  <c r="AL800" i="2" s="1"/>
  <c r="AM800" i="2" s="1"/>
  <c r="AO800" i="2" s="1"/>
  <c r="AK387" i="2"/>
  <c r="AK937" i="2"/>
  <c r="AL937" i="2" s="1"/>
  <c r="AM937" i="2" s="1"/>
  <c r="AO937" i="2" s="1"/>
  <c r="AK657" i="2"/>
  <c r="AK48" i="2"/>
  <c r="AL48" i="2" s="1"/>
  <c r="AM48" i="2" s="1"/>
  <c r="AN48" i="2" s="1"/>
  <c r="AO48" i="2" s="1"/>
  <c r="AK1020" i="2"/>
  <c r="AL1020" i="2" s="1"/>
  <c r="AM1020" i="2" s="1"/>
  <c r="AO1020" i="2" s="1"/>
  <c r="AK944" i="2"/>
  <c r="AL944" i="2" s="1"/>
  <c r="AM944" i="2" s="1"/>
  <c r="AO944" i="2" s="1"/>
  <c r="AK716" i="2"/>
  <c r="AL716" i="2" s="1"/>
  <c r="AM716" i="2" s="1"/>
  <c r="AO716" i="2" s="1"/>
  <c r="AK1065" i="2"/>
  <c r="AL1065" i="2" s="1"/>
  <c r="AM1065" i="2" s="1"/>
  <c r="AO1065" i="2" s="1"/>
  <c r="AK1171" i="2"/>
  <c r="AL1171" i="2" s="1"/>
  <c r="AM1171" i="2" s="1"/>
  <c r="AO1171" i="2" s="1"/>
  <c r="AK1209" i="2"/>
  <c r="AK385" i="2"/>
  <c r="AL385" i="2" s="1"/>
  <c r="AM385" i="2" s="1"/>
  <c r="AO385" i="2" s="1"/>
  <c r="AK590" i="2"/>
  <c r="AL590" i="2" s="1"/>
  <c r="AM590" i="2" s="1"/>
  <c r="AO590" i="2" s="1"/>
  <c r="AK276" i="2"/>
  <c r="AL276" i="2" s="1"/>
  <c r="AM276" i="2" s="1"/>
  <c r="AK553" i="2"/>
  <c r="AL553" i="2" s="1"/>
  <c r="AM553" i="2" s="1"/>
  <c r="AO553" i="2" s="1"/>
  <c r="AK933" i="2"/>
  <c r="AL933" i="2" s="1"/>
  <c r="AM933" i="2" s="1"/>
  <c r="AO933" i="2" s="1"/>
  <c r="AK811" i="2"/>
  <c r="AL811" i="2" s="1"/>
  <c r="AM811" i="2" s="1"/>
  <c r="AO811" i="2" s="1"/>
  <c r="AK1028" i="2"/>
  <c r="AL1028" i="2" s="1"/>
  <c r="AM1028" i="2" s="1"/>
  <c r="AO1028" i="2" s="1"/>
  <c r="AK839" i="2"/>
  <c r="AL839" i="2" s="1"/>
  <c r="AM839" i="2" s="1"/>
  <c r="AN839" i="2" s="1"/>
  <c r="AO839" i="2" s="1"/>
  <c r="AK371" i="2"/>
  <c r="AK975" i="2"/>
  <c r="AK1262" i="2"/>
  <c r="AL1262" i="2" s="1"/>
  <c r="AM1262" i="2" s="1"/>
  <c r="AO1262" i="2" s="1"/>
  <c r="AK1244" i="2"/>
  <c r="AL1244" i="2" s="1"/>
  <c r="AM1244" i="2" s="1"/>
  <c r="AO1244" i="2" s="1"/>
  <c r="Q24" i="1" s="1"/>
  <c r="AK1251" i="2"/>
  <c r="AL1251" i="2" s="1"/>
  <c r="AM1251" i="2" s="1"/>
  <c r="AO1251" i="2" s="1"/>
  <c r="AK825" i="2"/>
  <c r="AL825" i="2" s="1"/>
  <c r="AM825" i="2" s="1"/>
  <c r="AN825" i="2" s="1"/>
  <c r="AK1216" i="2"/>
  <c r="AL1216" i="2" s="1"/>
  <c r="AM1216" i="2" s="1"/>
  <c r="AN1216" i="2" s="1"/>
  <c r="AO1216" i="2" s="1"/>
  <c r="AK758" i="2"/>
  <c r="AL758" i="2" s="1"/>
  <c r="AM758" i="2" s="1"/>
  <c r="AO758" i="2" s="1"/>
  <c r="AK1105" i="2"/>
  <c r="AL1105" i="2" s="1"/>
  <c r="AM1105" i="2" s="1"/>
  <c r="AN1105" i="2" s="1"/>
  <c r="AO1105" i="2" s="1"/>
  <c r="AK80" i="2"/>
  <c r="AL80" i="2" s="1"/>
  <c r="AM80" i="2" s="1"/>
  <c r="AO80" i="2" s="1"/>
  <c r="AK953" i="2"/>
  <c r="AL953" i="2" s="1"/>
  <c r="AM953" i="2" s="1"/>
  <c r="AO953" i="2" s="1"/>
  <c r="AK188" i="2"/>
  <c r="AL188" i="2" s="1"/>
  <c r="AM188" i="2" s="1"/>
  <c r="AO188" i="2" s="1"/>
  <c r="AK134" i="2"/>
  <c r="AL134" i="2" s="1"/>
  <c r="AM134" i="2" s="1"/>
  <c r="AO134" i="2" s="1"/>
  <c r="AK902" i="2"/>
  <c r="AL902" i="2" s="1"/>
  <c r="AM902" i="2" s="1"/>
  <c r="AO902" i="2" s="1"/>
  <c r="AK595" i="2"/>
  <c r="AL595" i="2" s="1"/>
  <c r="AM595" i="2" s="1"/>
  <c r="AO595" i="2" s="1"/>
  <c r="AK1010" i="2"/>
  <c r="AL1010" i="2" s="1"/>
  <c r="AM1010" i="2" s="1"/>
  <c r="AO1010" i="2" s="1"/>
  <c r="AK735" i="2"/>
  <c r="AK895" i="2"/>
  <c r="AL895" i="2" s="1"/>
  <c r="AM895" i="2" s="1"/>
  <c r="AO895" i="2" s="1"/>
  <c r="AK267" i="2"/>
  <c r="AL267" i="2" s="1"/>
  <c r="AM267" i="2" s="1"/>
  <c r="AO267" i="2" s="1"/>
  <c r="AK247" i="2"/>
  <c r="AL247" i="2" s="1"/>
  <c r="AM247" i="2" s="1"/>
  <c r="AO247" i="2" s="1"/>
  <c r="AK57" i="2"/>
  <c r="AL57" i="2" s="1"/>
  <c r="AM57" i="2" s="1"/>
  <c r="AO57" i="2" s="1"/>
  <c r="AK772" i="2"/>
  <c r="AL772" i="2" s="1"/>
  <c r="AM772" i="2" s="1"/>
  <c r="AO772" i="2" s="1"/>
  <c r="AK945" i="2"/>
  <c r="AL945" i="2" s="1"/>
  <c r="AM945" i="2" s="1"/>
  <c r="AO945" i="2" s="1"/>
  <c r="AK988" i="2"/>
  <c r="AL988" i="2" s="1"/>
  <c r="AM988" i="2" s="1"/>
  <c r="AO988" i="2" s="1"/>
  <c r="AK263" i="2"/>
  <c r="AL263" i="2" s="1"/>
  <c r="AM263" i="2" s="1"/>
  <c r="AN263" i="2" s="1"/>
  <c r="AO263" i="2" s="1"/>
  <c r="AK1043" i="2"/>
  <c r="AL1043" i="2" s="1"/>
  <c r="AM1043" i="2" s="1"/>
  <c r="AO1043" i="2" s="1"/>
  <c r="AK1012" i="2"/>
  <c r="AL1012" i="2" s="1"/>
  <c r="AM1012" i="2" s="1"/>
  <c r="AO1012" i="2" s="1"/>
  <c r="AK1058" i="2"/>
  <c r="AL1058" i="2" s="1"/>
  <c r="AM1058" i="2" s="1"/>
  <c r="AO1058" i="2" s="1"/>
  <c r="AK1310" i="2"/>
  <c r="AL1310" i="2" s="1"/>
  <c r="AM1310" i="2" s="1"/>
  <c r="AO1310" i="2" s="1"/>
  <c r="AK552" i="2"/>
  <c r="AL552" i="2" s="1"/>
  <c r="AM552" i="2" s="1"/>
  <c r="AO552" i="2" s="1"/>
  <c r="AK748" i="2"/>
  <c r="AL748" i="2" s="1"/>
  <c r="AM748" i="2" s="1"/>
  <c r="AO748" i="2" s="1"/>
  <c r="AK166" i="2"/>
  <c r="AK374" i="2"/>
  <c r="AK219" i="2"/>
  <c r="AL219" i="2" s="1"/>
  <c r="AM219" i="2" s="1"/>
  <c r="AO219" i="2" s="1"/>
  <c r="AK779" i="2"/>
  <c r="AL779" i="2" s="1"/>
  <c r="AM779" i="2" s="1"/>
  <c r="AO779" i="2" s="1"/>
  <c r="AK142" i="2"/>
  <c r="AL142" i="2" s="1"/>
  <c r="AM142" i="2" s="1"/>
  <c r="AN142" i="2" s="1"/>
  <c r="AK78" i="2"/>
  <c r="AL78" i="2" s="1"/>
  <c r="AM78" i="2" s="1"/>
  <c r="AO78" i="2" s="1"/>
  <c r="AK212" i="2"/>
  <c r="AL212" i="2" s="1"/>
  <c r="AM212" i="2" s="1"/>
  <c r="AN212" i="2" s="1"/>
  <c r="AK570" i="2"/>
  <c r="AL570" i="2" s="1"/>
  <c r="AM570" i="2" s="1"/>
  <c r="AO570" i="2" s="1"/>
  <c r="AK424" i="2"/>
  <c r="AL424" i="2" s="1"/>
  <c r="AM424" i="2" s="1"/>
  <c r="AO424" i="2" s="1"/>
  <c r="AK847" i="2"/>
  <c r="AL847" i="2" s="1"/>
  <c r="AM847" i="2" s="1"/>
  <c r="AN847" i="2" s="1"/>
  <c r="AK888" i="2"/>
  <c r="AL888" i="2" s="1"/>
  <c r="AM888" i="2" s="1"/>
  <c r="AN888" i="2" s="1"/>
  <c r="AK1021" i="2"/>
  <c r="AL1021" i="2" s="1"/>
  <c r="AM1021" i="2" s="1"/>
  <c r="AO1021" i="2" s="1"/>
  <c r="AO123" i="2"/>
  <c r="AK950" i="2"/>
  <c r="AL950" i="2" s="1"/>
  <c r="AM950" i="2" s="1"/>
  <c r="AO950" i="2" s="1"/>
  <c r="AK390" i="2"/>
  <c r="AK226" i="2"/>
  <c r="AL226" i="2" s="1"/>
  <c r="AM226" i="2" s="1"/>
  <c r="AO226" i="2" s="1"/>
  <c r="AK858" i="2"/>
  <c r="AL858" i="2" s="1"/>
  <c r="AM858" i="2" s="1"/>
  <c r="AN858" i="2" s="1"/>
  <c r="AO858" i="2" s="1"/>
  <c r="AK265" i="2"/>
  <c r="AL265" i="2" s="1"/>
  <c r="AM265" i="2" s="1"/>
  <c r="AN265" i="2" s="1"/>
  <c r="AK1095" i="2"/>
  <c r="AK1191" i="2"/>
  <c r="AL1191" i="2" s="1"/>
  <c r="AM1191" i="2" s="1"/>
  <c r="AO1191" i="2" s="1"/>
  <c r="AK1283" i="2"/>
  <c r="AL1283" i="2" s="1"/>
  <c r="AM1283" i="2" s="1"/>
  <c r="AO1283" i="2" s="1"/>
  <c r="AK904" i="2"/>
  <c r="AL904" i="2" s="1"/>
  <c r="AM904" i="2" s="1"/>
  <c r="AO904" i="2" s="1"/>
  <c r="AK795" i="2"/>
  <c r="AL795" i="2" s="1"/>
  <c r="AM795" i="2" s="1"/>
  <c r="AO795" i="2" s="1"/>
  <c r="AK1226" i="2"/>
  <c r="AL1226" i="2" s="1"/>
  <c r="AM1226" i="2" s="1"/>
  <c r="Q19" i="1"/>
  <c r="AK199" i="2"/>
  <c r="AL199" i="2" s="1"/>
  <c r="AM199" i="2" s="1"/>
  <c r="AN199" i="2" s="1"/>
  <c r="AO199" i="2" s="1"/>
  <c r="AK149" i="2"/>
  <c r="AL149" i="2" s="1"/>
  <c r="AM149" i="2" s="1"/>
  <c r="AN149" i="2" s="1"/>
  <c r="AK308" i="2"/>
  <c r="AK627" i="2"/>
  <c r="AL627" i="2" s="1"/>
  <c r="AM627" i="2" s="1"/>
  <c r="AO627" i="2" s="1"/>
  <c r="AK326" i="2"/>
  <c r="AK1260" i="2"/>
  <c r="AL1260" i="2" s="1"/>
  <c r="AM1260" i="2" s="1"/>
  <c r="AO1260" i="2" s="1"/>
  <c r="AK1331" i="2"/>
  <c r="AL1331" i="2" s="1"/>
  <c r="AM1331" i="2" s="1"/>
  <c r="AO1331" i="2" s="1"/>
  <c r="AK1182" i="2"/>
  <c r="AL1182" i="2" s="1"/>
  <c r="AM1182" i="2" s="1"/>
  <c r="AO1182" i="2" s="1"/>
  <c r="AK229" i="2"/>
  <c r="AK681" i="2"/>
  <c r="AK463" i="2"/>
  <c r="AL463" i="2" s="1"/>
  <c r="AM463" i="2" s="1"/>
  <c r="AO463" i="2" s="1"/>
  <c r="AK699" i="2"/>
  <c r="AL699" i="2" s="1"/>
  <c r="AM699" i="2" s="1"/>
  <c r="AO699" i="2" s="1"/>
  <c r="AK125" i="2"/>
  <c r="AL125" i="2" s="1"/>
  <c r="AM125" i="2" s="1"/>
  <c r="AO125" i="2" s="1"/>
  <c r="AK579" i="2"/>
  <c r="AL579" i="2" s="1"/>
  <c r="AM579" i="2" s="1"/>
  <c r="AO579" i="2" s="1"/>
  <c r="AK22" i="2"/>
  <c r="AL22" i="2" s="1"/>
  <c r="AM22" i="2" s="1"/>
  <c r="AN22" i="2" s="1"/>
  <c r="AO22" i="2" s="1"/>
  <c r="AK40" i="2"/>
  <c r="AL40" i="2" s="1"/>
  <c r="AM40" i="2" s="1"/>
  <c r="AO40" i="2" s="1"/>
  <c r="AK704" i="2"/>
  <c r="AK296" i="2"/>
  <c r="AL296" i="2" s="1"/>
  <c r="AM296" i="2" s="1"/>
  <c r="AN296" i="2" s="1"/>
  <c r="AK818" i="2"/>
  <c r="AL818" i="2" s="1"/>
  <c r="AM818" i="2" s="1"/>
  <c r="AO818" i="2" s="1"/>
  <c r="AK357" i="2"/>
  <c r="AL357" i="2" s="1"/>
  <c r="AM357" i="2" s="1"/>
  <c r="AO357" i="2" s="1"/>
  <c r="AK896" i="2"/>
  <c r="AL896" i="2" s="1"/>
  <c r="AM896" i="2" s="1"/>
  <c r="AO896" i="2" s="1"/>
  <c r="AK822" i="2"/>
  <c r="AL822" i="2" s="1"/>
  <c r="AM822" i="2" s="1"/>
  <c r="AN822" i="2" s="1"/>
  <c r="AO822" i="2" s="1"/>
  <c r="AK880" i="2"/>
  <c r="AL880" i="2" s="1"/>
  <c r="AM880" i="2" s="1"/>
  <c r="AO880" i="2" s="1"/>
  <c r="AK1082" i="2"/>
  <c r="AL1082" i="2" s="1"/>
  <c r="AM1082" i="2" s="1"/>
  <c r="AO1082" i="2" s="1"/>
  <c r="AK697" i="2"/>
  <c r="AL697" i="2" s="1"/>
  <c r="AM697" i="2" s="1"/>
  <c r="AO697" i="2" s="1"/>
  <c r="AK1149" i="2"/>
  <c r="AL1149" i="2" s="1"/>
  <c r="AM1149" i="2" s="1"/>
  <c r="AO1149" i="2" s="1"/>
  <c r="AK1150" i="2"/>
  <c r="AL1150" i="2" s="1"/>
  <c r="AM1150" i="2" s="1"/>
  <c r="AO1150" i="2" s="1"/>
  <c r="AK1035" i="2"/>
  <c r="AL1035" i="2" s="1"/>
  <c r="AM1035" i="2" s="1"/>
  <c r="AO1035" i="2" s="1"/>
  <c r="AN150" i="2"/>
  <c r="AN1226" i="2"/>
  <c r="AO1226" i="2" s="1"/>
  <c r="AN244" i="2"/>
  <c r="AO244" i="2" s="1"/>
  <c r="AN245" i="2"/>
  <c r="AO245" i="2" s="1"/>
  <c r="AN1144" i="2"/>
  <c r="AO1144" i="2" s="1"/>
  <c r="AN184" i="2"/>
  <c r="AO184" i="2" s="1"/>
  <c r="AN30" i="2"/>
  <c r="AO30" i="2" s="1"/>
  <c r="AN276" i="2"/>
  <c r="AO276" i="2" s="1"/>
  <c r="AN46" i="2"/>
  <c r="AO46" i="2" s="1"/>
  <c r="AN126" i="2"/>
  <c r="AO126" i="2" s="1"/>
  <c r="AN172" i="2"/>
  <c r="AO172" i="2" s="1"/>
  <c r="Q9" i="1"/>
  <c r="AN111" i="2"/>
  <c r="AO111" i="2" s="1"/>
  <c r="AN835" i="2"/>
  <c r="AO835" i="2" s="1"/>
  <c r="AN264" i="2"/>
  <c r="AO264" i="2" s="1"/>
  <c r="AN203" i="2"/>
  <c r="AO203" i="2" s="1"/>
  <c r="AN14" i="2"/>
  <c r="AO14" i="2" s="1"/>
  <c r="AN1235" i="2"/>
  <c r="AO1235" i="2" s="1"/>
  <c r="AN1102" i="2"/>
  <c r="AO1102" i="2" s="1"/>
  <c r="AN189" i="2"/>
  <c r="AO189" i="2" s="1"/>
  <c r="AN1164" i="2"/>
  <c r="AO1164" i="2" s="1"/>
  <c r="AN913" i="2"/>
  <c r="AO913" i="2" s="1"/>
  <c r="AN128" i="2"/>
  <c r="AO128" i="2" s="1"/>
  <c r="AN1120" i="2"/>
  <c r="AO1120" i="2" s="1"/>
  <c r="AN202" i="2"/>
  <c r="AO202" i="2" s="1"/>
  <c r="AN183" i="2"/>
  <c r="AO183" i="2" s="1"/>
  <c r="AN254" i="2"/>
  <c r="AO254" i="2" s="1"/>
  <c r="AN1129" i="2"/>
  <c r="AO1129" i="2" s="1"/>
  <c r="AN911" i="2"/>
  <c r="AO911" i="2" s="1"/>
  <c r="AN6" i="2"/>
  <c r="AO6" i="2" s="1"/>
  <c r="AN207" i="2"/>
  <c r="AO207" i="2" s="1"/>
  <c r="AN86" i="2"/>
  <c r="AO86" i="2" s="1"/>
  <c r="AN849" i="2"/>
  <c r="AO849" i="2" s="1"/>
  <c r="AN1111" i="2"/>
  <c r="AO1111" i="2" s="1"/>
  <c r="AN1242" i="2"/>
  <c r="AO1242" i="2" s="1"/>
  <c r="AN205" i="2"/>
  <c r="AO205" i="2" s="1"/>
  <c r="AN837" i="2"/>
  <c r="AO837" i="2" s="1"/>
  <c r="AN109" i="2"/>
  <c r="AO109" i="2" s="1"/>
  <c r="AN845" i="2"/>
  <c r="AO845" i="2" s="1"/>
  <c r="AN39" i="2"/>
  <c r="AO39" i="2" s="1"/>
  <c r="AN250" i="2"/>
  <c r="AO250" i="2" s="1"/>
  <c r="AO274" i="2"/>
  <c r="AN906" i="2"/>
  <c r="AO906" i="2" s="1"/>
  <c r="AN1247" i="2"/>
  <c r="AO1247" i="2" s="1"/>
  <c r="AO1141" i="2"/>
  <c r="AK1194" i="2"/>
  <c r="AL1194" i="2" s="1"/>
  <c r="AM1194" i="2" s="1"/>
  <c r="AO1194" i="2" s="1"/>
  <c r="O23" i="1" s="1"/>
  <c r="AN1214" i="2"/>
  <c r="AO1214" i="2" s="1"/>
  <c r="AN114" i="2"/>
  <c r="AO114" i="2" s="1"/>
  <c r="AK104" i="2"/>
  <c r="AK260" i="2"/>
  <c r="AL260" i="2" s="1"/>
  <c r="AM260" i="2" s="1"/>
  <c r="AO191" i="2"/>
  <c r="AN17" i="2"/>
  <c r="AO17" i="2" s="1"/>
  <c r="AK586" i="2"/>
  <c r="AL586" i="2" s="1"/>
  <c r="AM586" i="2" s="1"/>
  <c r="AO586" i="2" s="1"/>
  <c r="AO1219" i="2"/>
  <c r="AN1249" i="2"/>
  <c r="AO1249" i="2" s="1"/>
  <c r="AN124" i="2"/>
  <c r="AO124" i="2" s="1"/>
  <c r="AK719" i="2"/>
  <c r="AL719" i="2" s="1"/>
  <c r="AM719" i="2" s="1"/>
  <c r="AO719" i="2" s="1"/>
  <c r="AN147" i="2"/>
  <c r="AO147" i="2" s="1"/>
  <c r="AK1076" i="2"/>
  <c r="AL1076" i="2" s="1"/>
  <c r="AM1076" i="2" s="1"/>
  <c r="AO1076" i="2" s="1"/>
  <c r="AO1130" i="2"/>
  <c r="AK1218" i="2"/>
  <c r="AL1218" i="2" s="1"/>
  <c r="AM1218" i="2" s="1"/>
  <c r="AN850" i="2"/>
  <c r="AO850" i="2" s="1"/>
  <c r="AN145" i="2"/>
  <c r="AO145" i="2" s="1"/>
  <c r="AO186" i="2"/>
  <c r="AK1104" i="2"/>
  <c r="AL1104" i="2" s="1"/>
  <c r="AM1104" i="2" s="1"/>
  <c r="AN894" i="2"/>
  <c r="AO894" i="2"/>
  <c r="AO110" i="2"/>
  <c r="AN120" i="2"/>
  <c r="AO120" i="2" s="1"/>
  <c r="AK303" i="2"/>
  <c r="AL303" i="2" s="1"/>
  <c r="AM303" i="2" s="1"/>
  <c r="AO303" i="2" s="1"/>
  <c r="AN221" i="2"/>
  <c r="AO221" i="2" s="1"/>
  <c r="AK392" i="2"/>
  <c r="AK558" i="2"/>
  <c r="AL558" i="2" s="1"/>
  <c r="AM558" i="2" s="1"/>
  <c r="AO558" i="2" s="1"/>
  <c r="AN243" i="2"/>
  <c r="AO243" i="2" s="1"/>
  <c r="AO1168" i="2"/>
  <c r="AN859" i="2"/>
  <c r="AO859" i="2" s="1"/>
  <c r="AK459" i="2"/>
  <c r="AL459" i="2" s="1"/>
  <c r="AM459" i="2" s="1"/>
  <c r="AO459" i="2" s="1"/>
  <c r="AK64" i="2"/>
  <c r="AN97" i="2"/>
  <c r="AO97" i="2" s="1"/>
  <c r="AK43" i="2"/>
  <c r="AL43" i="2" s="1"/>
  <c r="AM43" i="2" s="1"/>
  <c r="AO43" i="2" s="1"/>
  <c r="AO220" i="2"/>
  <c r="AK302" i="2"/>
  <c r="AL302" i="2" s="1"/>
  <c r="AM302" i="2" s="1"/>
  <c r="AO302" i="2" s="1"/>
  <c r="AN842" i="2"/>
  <c r="AO842" i="2" s="1"/>
  <c r="AN1121" i="2"/>
  <c r="AO1121" i="2" s="1"/>
  <c r="AK1103" i="2"/>
  <c r="AN844" i="2"/>
  <c r="AO844" i="2"/>
  <c r="Q25" i="1"/>
  <c r="Q26" i="1"/>
  <c r="AN1211" i="2"/>
  <c r="AO1211" i="2"/>
  <c r="AN1123" i="2"/>
  <c r="AO1123" i="2" s="1"/>
  <c r="AO1112" i="2"/>
  <c r="Q21" i="1"/>
  <c r="Q23" i="1"/>
  <c r="AO833" i="2"/>
  <c r="AN12" i="2"/>
  <c r="AO12" i="2"/>
  <c r="AN851" i="2"/>
  <c r="AO851" i="2" s="1"/>
  <c r="AN848" i="2"/>
  <c r="AO848" i="2" s="1"/>
  <c r="AN269" i="2"/>
  <c r="AO269" i="2" s="1"/>
  <c r="AO242" i="2"/>
  <c r="J6" i="1"/>
  <c r="AN287" i="2"/>
  <c r="AO287" i="2" s="1"/>
  <c r="AN1236" i="2"/>
  <c r="AO1236" i="2" s="1"/>
  <c r="AN1159" i="2"/>
  <c r="AO1159" i="2" s="1"/>
  <c r="AN216" i="2"/>
  <c r="AO216" i="2" s="1"/>
  <c r="AN1232" i="2"/>
  <c r="AO1232" i="2" s="1"/>
  <c r="O17" i="1"/>
  <c r="AN1246" i="2"/>
  <c r="AO1246" i="2" s="1"/>
  <c r="AN1133" i="2"/>
  <c r="AO1133" i="2" s="1"/>
  <c r="AN1221" i="2"/>
  <c r="AO1221" i="2" s="1"/>
  <c r="AN23" i="2"/>
  <c r="AO23" i="2" s="1"/>
  <c r="AK447" i="2"/>
  <c r="AL447" i="2" s="1"/>
  <c r="AM447" i="2" s="1"/>
  <c r="AO447" i="2" s="1"/>
  <c r="AK572" i="2"/>
  <c r="AL572" i="2" s="1"/>
  <c r="AM572" i="2" s="1"/>
  <c r="AO572" i="2" s="1"/>
  <c r="AN275" i="2"/>
  <c r="AO275" i="2" s="1"/>
  <c r="AK875" i="2"/>
  <c r="AL875" i="2" s="1"/>
  <c r="AM875" i="2" s="1"/>
  <c r="AO875" i="2" s="1"/>
  <c r="AK215" i="2"/>
  <c r="AL215" i="2" s="1"/>
  <c r="AM215" i="2" s="1"/>
  <c r="AO215" i="2" s="1"/>
  <c r="AK992" i="2"/>
  <c r="AL992" i="2" s="1"/>
  <c r="AM992" i="2" s="1"/>
  <c r="AO992" i="2" s="1"/>
  <c r="AN214" i="2"/>
  <c r="AO214" i="2" s="1"/>
  <c r="AK659" i="2"/>
  <c r="Q18" i="1"/>
  <c r="AN1156" i="2"/>
  <c r="AO1156" i="2" s="1"/>
  <c r="AN176" i="2"/>
  <c r="AO176" i="2" s="1"/>
  <c r="AK843" i="2"/>
  <c r="AL843" i="2" s="1"/>
  <c r="AM843" i="2" s="1"/>
  <c r="AO843" i="2" s="1"/>
  <c r="AO1115" i="2"/>
  <c r="AO1134" i="2"/>
  <c r="AN223" i="2"/>
  <c r="AO223" i="2"/>
  <c r="AN196" i="2"/>
  <c r="AO196" i="2" s="1"/>
  <c r="AN99" i="2"/>
  <c r="AO99" i="2" s="1"/>
  <c r="AO853" i="2"/>
  <c r="AO1243" i="2"/>
  <c r="Q11" i="1"/>
  <c r="AK755" i="2"/>
  <c r="AL755" i="2" s="1"/>
  <c r="AM755" i="2" s="1"/>
  <c r="AO755" i="2" s="1"/>
  <c r="N15" i="1" s="1"/>
  <c r="AN235" i="2"/>
  <c r="AO235" i="2" s="1"/>
  <c r="AN151" i="2"/>
  <c r="AO151" i="2" s="1"/>
  <c r="AN8" i="2"/>
  <c r="AO8" i="2" s="1"/>
  <c r="AO135" i="2"/>
  <c r="Q13" i="1"/>
  <c r="AK301" i="2"/>
  <c r="AL301" i="2" s="1"/>
  <c r="AM301" i="2" s="1"/>
  <c r="AO301" i="2" s="1"/>
  <c r="AO291" i="2"/>
  <c r="AO129" i="2"/>
  <c r="AK917" i="2"/>
  <c r="AL917" i="2" s="1"/>
  <c r="AM917" i="2" s="1"/>
  <c r="AO917" i="2" s="1"/>
  <c r="AN1118" i="2"/>
  <c r="AO1118" i="2"/>
  <c r="AN1163" i="2"/>
  <c r="AO1163" i="2" s="1"/>
  <c r="AO1225" i="2"/>
  <c r="Q15" i="1"/>
  <c r="AK636" i="2"/>
  <c r="AL636" i="2" s="1"/>
  <c r="AM636" i="2" s="1"/>
  <c r="AO636" i="2" s="1"/>
  <c r="AK977" i="2"/>
  <c r="AK815" i="2"/>
  <c r="AL815" i="2" s="1"/>
  <c r="AM815" i="2" s="1"/>
  <c r="AO815" i="2" s="1"/>
  <c r="AN1213" i="2"/>
  <c r="AO1213" i="2" s="1"/>
  <c r="N21" i="1" l="1"/>
  <c r="Q16" i="1"/>
  <c r="AO118" i="2"/>
  <c r="N26" i="1"/>
  <c r="AO828" i="2"/>
  <c r="N23" i="1"/>
  <c r="AO150" i="2"/>
  <c r="AO117" i="2"/>
  <c r="O14" i="1"/>
  <c r="O15" i="1"/>
  <c r="N8" i="1"/>
  <c r="N19" i="1"/>
  <c r="O22" i="1"/>
  <c r="N20" i="1"/>
  <c r="Q20" i="1"/>
  <c r="AO142" i="2"/>
  <c r="AO825" i="2"/>
  <c r="AO1114" i="2"/>
  <c r="N25" i="1"/>
  <c r="Q7" i="1"/>
  <c r="AO265" i="2"/>
  <c r="AO149" i="2"/>
  <c r="AO888" i="2"/>
  <c r="AO847" i="2"/>
  <c r="N17" i="1" s="1"/>
  <c r="AO1117" i="2"/>
  <c r="N18" i="1"/>
  <c r="N14" i="1"/>
  <c r="N16" i="1"/>
  <c r="AO212" i="2"/>
  <c r="N11" i="1" s="1"/>
  <c r="AO296" i="2"/>
  <c r="N10" i="1"/>
  <c r="N9" i="1"/>
  <c r="AN1104" i="2"/>
  <c r="AO1104" i="2" s="1"/>
  <c r="N22" i="1" s="1"/>
  <c r="AN1218" i="2"/>
  <c r="AO1218" i="2" s="1"/>
  <c r="N24" i="1" s="1"/>
  <c r="AN260" i="2"/>
  <c r="AO260" i="2" s="1"/>
  <c r="N7" i="1"/>
  <c r="Q6" i="1" l="1"/>
  <c r="O6" i="1"/>
  <c r="N13" i="1"/>
  <c r="N6" i="1" s="1"/>
</calcChain>
</file>

<file path=xl/sharedStrings.xml><?xml version="1.0" encoding="utf-8"?>
<sst xmlns="http://schemas.openxmlformats.org/spreadsheetml/2006/main" count="16235" uniqueCount="1497">
  <si>
    <t>PRESENCIAL</t>
  </si>
  <si>
    <t>PRESENCIAL FE</t>
  </si>
  <si>
    <t>EAD</t>
  </si>
  <si>
    <t>EAD MOOC</t>
  </si>
  <si>
    <t>EAD FP</t>
  </si>
  <si>
    <t>Tutorial 4ª fase</t>
  </si>
  <si>
    <t>Quantidade de alunos por modalidade e tipo de financiamento</t>
  </si>
  <si>
    <t>Matrículas Totais</t>
  </si>
  <si>
    <t>Gerado em: 03/08/2025 19:23</t>
  </si>
  <si>
    <t>PRESENCIAL FINANCIAMENTO EXTERNO</t>
  </si>
  <si>
    <t>EAD FINANCIAMENTO PRÓPRIO</t>
  </si>
  <si>
    <t xml:space="preserve">TOTAL
</t>
  </si>
  <si>
    <t>Alunos RIP</t>
  </si>
  <si>
    <t>UF</t>
  </si>
  <si>
    <t>Cidade</t>
  </si>
  <si>
    <t>Instituição</t>
  </si>
  <si>
    <t>Unidade de Ensino</t>
  </si>
  <si>
    <t>MEDIOTEC,
OUTROS RECURSOS EXTERNOS,
PROGRAMA EJA INTEGRADA - EPT  (SEB/MEC),
SEM PROGRAMA ASSOCIADO</t>
  </si>
  <si>
    <t>DDD</t>
  </si>
  <si>
    <t>APRENDA MAIS,
E-TEC,
MEDIOTEC,
OUTROS RECURSOS EXTERNOS,
PROGRAMA EJA INTEGRADA - EPT  (SEB/MEC),
UAB</t>
  </si>
  <si>
    <t>OUTROS MOOC</t>
  </si>
  <si>
    <t>SEM PROGRAMA ASSOCIADO</t>
  </si>
  <si>
    <t>Deve ser igual ao total da Matriz exibido na 2ª fase</t>
  </si>
  <si>
    <t>2024/1</t>
  </si>
  <si>
    <t>2024/2</t>
  </si>
  <si>
    <t>Média</t>
  </si>
  <si>
    <t>totais:</t>
  </si>
  <si>
    <t>MT</t>
  </si>
  <si>
    <t>ALTA FLORESTA</t>
  </si>
  <si>
    <t>IFMT</t>
  </si>
  <si>
    <t>CAMPUS ALTA FLORESTA</t>
  </si>
  <si>
    <t>LUCAS DO RIO VERDE</t>
  </si>
  <si>
    <t>CAMPUS AVANÇADO LUCAS DO RIO VERDE</t>
  </si>
  <si>
    <t>BARRA DO GARÇAS</t>
  </si>
  <si>
    <t>CAMPUS BARRA DO GARÇAS</t>
  </si>
  <si>
    <t>CÁCERES</t>
  </si>
  <si>
    <t>CAMPUS CÁCERES</t>
  </si>
  <si>
    <t>CAMPO NOVO DO PARECIS</t>
  </si>
  <si>
    <t>CAMPUS CAMPO NOVO DO PARECIS</t>
  </si>
  <si>
    <t>CAMPO VERDE</t>
  </si>
  <si>
    <t>CAMPUS CAMPO VERDE</t>
  </si>
  <si>
    <t>CONFRESA</t>
  </si>
  <si>
    <t>CAMPUS CONFRESA</t>
  </si>
  <si>
    <t>CUIABÁ</t>
  </si>
  <si>
    <t>CAMPUS CUIABÁ</t>
  </si>
  <si>
    <t>CAMPUS CUIABÁ BELA VISTA</t>
  </si>
  <si>
    <t>DIAMANTINO</t>
  </si>
  <si>
    <t>CAMPUS DIAMANTINO</t>
  </si>
  <si>
    <t>GUARANTÃ DO NORTE</t>
  </si>
  <si>
    <t>CAMPUS GUARANTÃ DO NORTE</t>
  </si>
  <si>
    <t>JUÍNA</t>
  </si>
  <si>
    <t>CAMPUS JUÍNA</t>
  </si>
  <si>
    <t>PONTES E LACERDA</t>
  </si>
  <si>
    <t>CAMPUS PONTES E LACERDA</t>
  </si>
  <si>
    <t>PRIMAVERA DO LESTE</t>
  </si>
  <si>
    <t>CAMPUS PRIMAVERA DO LESTE</t>
  </si>
  <si>
    <t>RONDONÓPOLIS</t>
  </si>
  <si>
    <t>CAMPUS RONDONÓPOLIS</t>
  </si>
  <si>
    <t>SANTO ANTÔNIO DO LEVERGER</t>
  </si>
  <si>
    <t>CAMPUS SÃO VICENTE</t>
  </si>
  <si>
    <t>SINOP</t>
  </si>
  <si>
    <t>CAMPUS SINOP</t>
  </si>
  <si>
    <t>SORRISO</t>
  </si>
  <si>
    <t>CAMPUS SORRISO</t>
  </si>
  <si>
    <t>TANGARÁ DA SERRA</t>
  </si>
  <si>
    <t>CAMPUS TANGARÁ DA SERRA</t>
  </si>
  <si>
    <t>VÁRZEA GRANDE</t>
  </si>
  <si>
    <t>CAMPUS VÁRZEA GRANDE</t>
  </si>
  <si>
    <t>versão 8.5</t>
  </si>
  <si>
    <t>Modalidade de Ensino</t>
  </si>
  <si>
    <t>Tipo de 
Financiamento</t>
  </si>
  <si>
    <t>Tipo de 
Curso</t>
  </si>
  <si>
    <t>Nome do curso</t>
  </si>
  <si>
    <t>Área ou Eixo</t>
  </si>
  <si>
    <t>Curso de Agropecuária</t>
  </si>
  <si>
    <t>Tipo de Oferta</t>
  </si>
  <si>
    <t>Ciclo da matrícula</t>
  </si>
  <si>
    <t>Nome do Ciclo</t>
  </si>
  <si>
    <t>DIC 
 Data de início de cliclo</t>
  </si>
  <si>
    <t>DTC 
 Data prevista de término do ciclo</t>
  </si>
  <si>
    <t>Dt. Jubilamento</t>
  </si>
  <si>
    <t>CHC 
 Carga horária do ciclo</t>
  </si>
  <si>
    <t>CHMC
 Carga horária do catálogo do MEC</t>
  </si>
  <si>
    <t>CHM
Carga horária
p/ Matriz</t>
  </si>
  <si>
    <t>PC 
 Peso do curso</t>
  </si>
  <si>
    <t>Apto para Matriz (pela data de jubilamento)</t>
  </si>
  <si>
    <t>QTDC 
 Quantidade de dias do Ciclo 
 QDTC = DTC - DIC + 1</t>
  </si>
  <si>
    <t>CHMD 
 Carga Horária Média Diária 
 CHMD = CHM/QDTC</t>
  </si>
  <si>
    <t>CHA 
 Carga Horária Anualizada 
 CHA = SE(QDTC&gt;365;CHMD*365;CHM)</t>
  </si>
  <si>
    <t>FECH 
 Fator de Equalização de Carga Horária 
 FECH = SE(QDTC&gt;365;CHA/800;CHC/800)</t>
  </si>
  <si>
    <t xml:space="preserve"> CALCULO DAS 
MATRICULAS TOTAIS 
PARA _ANO_</t>
  </si>
  <si>
    <t>DIP1P 
 Dt. Início do período em 
 _ANO_</t>
  </si>
  <si>
    <t>DFP1P 
 Dt. Término do período em 
 _ANO_</t>
  </si>
  <si>
    <t>QTM1P 
 Qtd. Matrículas em 
 _ANO_</t>
  </si>
  <si>
    <t>DACP1 Dias Ativos do Ciclo no Período
1 - começa antes do início do período
e
termina depois do final do período
DACP1=SE(E(DIC&lt;DIP_ANO_;DTC&gt;DFP_ANO_);DFP_ANO_-DIP_ANO_+1;0)</t>
  </si>
  <si>
    <t>DACP2 Dias Ativos do Ciclo no Período 
2 - começa dentro do período
e
temina depois do final do período
DACP2=SE(E(DIC&gt;=DIP_ANO_;DTC&gt;DFP_ANO_;DIC&lt;DFP_ANO_);DFP_ANO_-DIC+1;0)</t>
  </si>
  <si>
    <t>DACP3 Dias Ativos do Ciclo no Período 3 - começa antes do início do período e termina antes do final do período DACP3=SE(E(DIC&lt;DIP20152;DTC&lt;=DFP20152;DTC&gt;=DIP20152);DTC-DIP20152+1;0)</t>
  </si>
  <si>
    <t>DACP4 Dias Ativos do Ciclo no Período 
 4 - começa depois do início do período
e
termina antes  do final do período
DACP4=SE(E(DIC&gt;=DIP_ANO_;DTC&lt;=DFP_ANO_);DTC-DIC+1;0)</t>
  </si>
  <si>
    <t>DACP5 Dias Ativos do Ciclo no Período 
 5 - começa antes do início do período
e
termina antes  do início do período
DACP5=SE(E(DIC&lt;DIP_ANO_;DTC&lt;DIP_ANO_);(DFP_ANO_-DIP_ANO_+1)/2;0)</t>
  </si>
  <si>
    <t>FEDA
Fator de Equalização de Dias Ativos
FEDA=SOMA(DACP DE 1 A 5)
/(DFP_ANO_-DIP_ANO_+1)*</t>
  </si>
  <si>
    <t>FECHDA
Fator de Equalização de Carga Horária e Dias Ativos
FECHDA=FECH*FEDA</t>
  </si>
  <si>
    <t>MECHDA
Matrículas Equalizadas por  Carga Horária e Dias Ativos
MECHDA=SE(DACP5=0;FECHDA*QTM_ANO_;SE(DIP_ANO_-DTC&gt;1095;0;FECHDA*(QTM_ANO_/2)))</t>
  </si>
  <si>
    <t>MP
Matrículas Ponderadas
MP=MECHDA*PC</t>
  </si>
  <si>
    <t>BA
Bônus Agropecuária
BA=SE(Agropecuária="SIM";
MP*50%;0)</t>
  </si>
  <si>
    <t>MT_ANO_
Matrículas Totais para _ANO_
MT_ANO_=MP+BA</t>
  </si>
  <si>
    <t>Situação de acordo com o tipo de financiamento</t>
  </si>
  <si>
    <t>Zootecnia</t>
  </si>
  <si>
    <t>RECURSOS NATURAIS</t>
  </si>
  <si>
    <t>SIM</t>
  </si>
  <si>
    <t>NÃO SE APLICA</t>
  </si>
  <si>
    <t>ENSINO PRESENCIAL - SEM PROGRAMA ASSOCIADO</t>
  </si>
  <si>
    <t>ENSINO PRESENCIAL - MEDIOTEC</t>
  </si>
  <si>
    <t>ENSINO A DISTANCIA - UAB (UNIVERSIDADE ABERTA DO BRASIL)</t>
  </si>
  <si>
    <t>ENSINO A DISTANCIA - OUTROS RECURSOS EXTERNOS</t>
  </si>
  <si>
    <t>ENSINO A DISTANCIA - E-TEC</t>
  </si>
  <si>
    <t>ENSINO A DISTANCIA - APRENDA MAIS</t>
  </si>
  <si>
    <t>ENSINO A DISTANCIA - OUTROS MOOC</t>
  </si>
  <si>
    <t>ENSINO A DISTANCIA - PROGRAMA EJA INTEGRADA - EPT (SEB/MEC)</t>
  </si>
  <si>
    <t>ENSINO A DISTANCIA - SEM PROGRAMA ASSOCIADO</t>
  </si>
  <si>
    <t>ENSINO PRESENCIAL - PROGRAMA EJA INTEGRADA - EPT (SEB/MEC)</t>
  </si>
  <si>
    <t>ENSINO PRESENCIAL</t>
  </si>
  <si>
    <t>BACHARELADO</t>
  </si>
  <si>
    <t>ZOOTECNIA  - 15/02/2016 22/12/2020</t>
  </si>
  <si>
    <t>Administração</t>
  </si>
  <si>
    <t>GESTAO E NEGOCIOS</t>
  </si>
  <si>
    <t>NÃO</t>
  </si>
  <si>
    <t>ADMINISTRAÇÃO  - 13/02/2017 31/12/2020</t>
  </si>
  <si>
    <t>ZOOTECNIA  - 13/02/2017 31/12/2021</t>
  </si>
  <si>
    <t>TECNICO</t>
  </si>
  <si>
    <t>Técnico em Administração</t>
  </si>
  <si>
    <t>INTEGRADO</t>
  </si>
  <si>
    <t>TÉCNICO EM ADMINISTRAÇÃO INTEGRADO - 13/02/2017 30/12/2019</t>
  </si>
  <si>
    <t>Técnico em Agropecuária</t>
  </si>
  <si>
    <t>TÉCNICO EM AGROPECUÁRIA INTEGRADO - 05/02/2018 30/12/2021</t>
  </si>
  <si>
    <t>ADMINISTRAÇÃO  - 05/02/2018 30/12/2021</t>
  </si>
  <si>
    <t>ZOOTECNIA  - 05/02/2018 30/12/2022</t>
  </si>
  <si>
    <t>TÉCNICO EM ADMINISTRAÇÃO INTEGRADO - 04/02/2019 30/12/2021</t>
  </si>
  <si>
    <t>TÉCNICO EM AGROPECUÁRIA INTEGRADO - 04/02/2019 30/12/2021</t>
  </si>
  <si>
    <t>ADMINISTRAÇÃO  - 04/02/2019 30/12/2022</t>
  </si>
  <si>
    <t>ZOOTECNIA  - 04/02/2019 30/12/2023</t>
  </si>
  <si>
    <t>TECNOLOGIA</t>
  </si>
  <si>
    <t>Gestão de Recursos Humanos</t>
  </si>
  <si>
    <t>GESTÃO DE RECURSOS HUMANOS  - 22/07/2019 31/07/2021</t>
  </si>
  <si>
    <t>TÉCNICO EM ADMINISTRAÇÃO INTEGRADO - 03/02/2020 18/12/2022</t>
  </si>
  <si>
    <t>TÉCNICO EM AGROPECUÁRIA INTEGRADO - 03/02/2020 18/12/2022</t>
  </si>
  <si>
    <t>ADMINISTRAÇÃO  - 03/02/2020 18/12/2023</t>
  </si>
  <si>
    <t>ZOOTECNIA  - 03/02/2020 18/12/2024</t>
  </si>
  <si>
    <t>GESTÃO DE RECURSOS HUMANOS  - 10/11/2020 30/11/2022</t>
  </si>
  <si>
    <t>TÉCNICO EM ADMINISTRAÇÃO INTEGRADO - 19/04/2021 30/12/2023</t>
  </si>
  <si>
    <t>TÉCNICO EM AGROPECUÁRIA INTEGRADO - 19/04/2021 30/12/2023</t>
  </si>
  <si>
    <t>ZOOTECNIA  - 19/04/2021 30/12/2025</t>
  </si>
  <si>
    <t>ADMINISTRAÇÃO  - 19/04/2021 30/12/2024</t>
  </si>
  <si>
    <t>ADMINISTRAÇÃO  - 19/04/2021 20/04/2025</t>
  </si>
  <si>
    <t>GESTÃO DE RECURSOS HUMANOS  - 13/09/2021 15/09/2023</t>
  </si>
  <si>
    <t>ADMINISTRAÇÃO  - 13/09/2021 30/09/2025</t>
  </si>
  <si>
    <t>GESTÃO DE RECURSOS HUMANOS  - 13/09/2021 30/09/2023</t>
  </si>
  <si>
    <t>TÉCNICO EM ADMINISTRAÇÃO INTEGRADO - 14/03/2022 17/02/2025</t>
  </si>
  <si>
    <t>TÉCNICO EM AGROPECUÁRIA INTEGRADO - 14/03/2022 17/02/2025</t>
  </si>
  <si>
    <t>ADMINISTRAÇÃO  - 14/03/2022 17/02/2026</t>
  </si>
  <si>
    <t>ZOOTECNIA  - 14/03/2022 17/02/2027</t>
  </si>
  <si>
    <t>ADMINISTRAÇÃO  - 14/03/2022 28/02/2026</t>
  </si>
  <si>
    <t>QUALIFICACAO PROFISSIONAL (FIC)</t>
  </si>
  <si>
    <t>Qualificação Profissional - Gestão e Negócios</t>
  </si>
  <si>
    <t>SUBSEQUENTE</t>
  </si>
  <si>
    <t>QUALIFICAÇÃO PROFISSIONAL - GESTÃO E NEGÓCIOS SUBSEQUENTE - 01/08/2022 30/06/2024</t>
  </si>
  <si>
    <t>GESTÃO DE RECURSOS HUMANOS  - 30/08/2022 30/08/2024</t>
  </si>
  <si>
    <t>TÉCNICO EM ADMINISTRAÇÃO INTEGRADO - 07/03/2023 22/12/2025</t>
  </si>
  <si>
    <t>TÉCNICO EM AGROPECUÁRIA INTEGRADO - 07/03/2023 22/12/2025</t>
  </si>
  <si>
    <t>ADMINISTRAÇÃO  - 07/03/2023 08/03/2027</t>
  </si>
  <si>
    <t>ZOOTECNIA  - 07/03/2023 23/12/2027</t>
  </si>
  <si>
    <t>ENSINO A DISTANCIA</t>
  </si>
  <si>
    <t>Técnico em Alimentação Escolar</t>
  </si>
  <si>
    <t>DESENVOLVIMENTO EDUCACIONAL E SOCIAL</t>
  </si>
  <si>
    <t>TÉCNICO EM ALIMENTAÇÃO ESCOLAR SUBSEQUENTE - 03/04/2023 31/08/2024</t>
  </si>
  <si>
    <t>Técnico em Infraestrutura Escolar</t>
  </si>
  <si>
    <t>TÉCNICO EM INFRAESTRUTURA ESCOLAR SUBSEQUENTE - 03/04/2023 31/08/2024</t>
  </si>
  <si>
    <t>Técnico em Secretaria Escolar</t>
  </si>
  <si>
    <t>TÉCNICO EM SECRETARIA ESCOLAR SUBSEQUENTE - 03/04/2023 31/08/2024</t>
  </si>
  <si>
    <t>ESPECIALIZACAO (LATO SENSU)</t>
  </si>
  <si>
    <t>Especialização em Gestão do Agronegócio</t>
  </si>
  <si>
    <t>ESPECIALIZAÇÃO EM GESTÃO DO AGRONEGÓCIO  - 19/06/2023 20/05/2024</t>
  </si>
  <si>
    <t>GESTÃO DE RECURSOS HUMANOS  - 14/08/2023 30/08/2025</t>
  </si>
  <si>
    <t>TÉCNICO EM ADMINISTRAÇÃO INTEGRADO - 05/02/2024 22/12/2026</t>
  </si>
  <si>
    <t>TÉCNICO EM AGROPECUÁRIA INTEGRADO - 05/02/2024 22/12/2026</t>
  </si>
  <si>
    <t>ADMINISTRAÇÃO  - 19/02/2024 22/12/2027</t>
  </si>
  <si>
    <t>ZOOTECNIA  - 19/02/2024 22/12/2028</t>
  </si>
  <si>
    <t>Agente de Informações Turísticas</t>
  </si>
  <si>
    <t>TURISMO, HOSPITALIDADE E LAZER</t>
  </si>
  <si>
    <t>AGENTE DE INFORMAÇÕES TURÍSTICAS  - 01/04/2024 31/07/2024</t>
  </si>
  <si>
    <t>GESTÃO DE RECURSOS HUMANOS  - 19/09/2024 19/09/2026</t>
  </si>
  <si>
    <t>Bacharelado em Biotecnologia</t>
  </si>
  <si>
    <t>PRODUCAO INDUSTRIAL</t>
  </si>
  <si>
    <t>BACHARELADO EM BIOTECNOLOGIA  - 06/02/2017 23/12/2020</t>
  </si>
  <si>
    <t>BACHARELADO EM BIOTECNOLOGIA  - 19/02/2018 23/12/2021</t>
  </si>
  <si>
    <t>BACHARELADO EM BIOTECNOLOGIA  - 04/02/2019 23/12/2022</t>
  </si>
  <si>
    <t>Técnico em Biotecnologia</t>
  </si>
  <si>
    <t>TÉCNICO EM BIOTECNOLOGIA INTEGRADO - 03/02/2020 23/12/2022</t>
  </si>
  <si>
    <t>BACHARELADO EM BIOTECNOLOGIA  - 03/02/2020 22/12/2023</t>
  </si>
  <si>
    <t>TÉCNICO EM BIOTECNOLOGIA INTEGRADO - 22/03/2021 22/12/2023</t>
  </si>
  <si>
    <t>BACHARELADO EM BIOTECNOLOGIA  - 22/03/2021 13/02/2025</t>
  </si>
  <si>
    <t>TÉCNICO EM BIOTECNOLOGIA INTEGRADO - 21/02/2022 20/12/2024</t>
  </si>
  <si>
    <t>BACHARELADO EM BIOTECNOLOGIA  - 21/02/2022 19/12/2025</t>
  </si>
  <si>
    <t>TÉCNICO EM BIOTECNOLOGIA INTEGRADO - 30/01/2023 19/12/2025</t>
  </si>
  <si>
    <t>BACHARELADO EM BIOTECNOLOGIA  - 30/01/2023 18/12/2026</t>
  </si>
  <si>
    <t>TÉCNICO EM BIOTECNOLOGIA INTEGRADO - 05/02/2024 19/12/2026</t>
  </si>
  <si>
    <t>BACHARELADO EM BIOTECNOLOGIA  - 05/02/2024 19/12/2027</t>
  </si>
  <si>
    <t>Técnico em Comércio</t>
  </si>
  <si>
    <t>TÉCNICO EM COMÉRCIO INTEGRADO - 01/04/2013 23/12/2015</t>
  </si>
  <si>
    <t>Técnico em Informática</t>
  </si>
  <si>
    <t>INFORMACAO E COMUNICACAO</t>
  </si>
  <si>
    <t>TÉCNICO EM INFORMÁTICA INTEGRADO - 08/03/2017 30/12/2019</t>
  </si>
  <si>
    <t>Gestão Pública</t>
  </si>
  <si>
    <t>GESTÃO PÚBLICA  - 19/02/2018 23/12/2020</t>
  </si>
  <si>
    <t>TÉCNICO EM INFORMÁTICA INTEGRADO - 19/02/2018 23/12/2020</t>
  </si>
  <si>
    <t>TÉCNICO EM ADMINISTRAÇÃO INTEGRADO - 19/02/2018 30/12/2020</t>
  </si>
  <si>
    <t>Agroecologia</t>
  </si>
  <si>
    <t>AGROECOLOGIA  - 23/02/2018 30/08/2019</t>
  </si>
  <si>
    <t>TÉCNICO EM ADMINISTRAÇÃO INTEGRADO - 04/02/2019 31/12/2021</t>
  </si>
  <si>
    <t>Técnico em Secretariado</t>
  </si>
  <si>
    <t>TÉCNICO EM SECRETARIADO SUBSEQUENTE - 04/02/2019 31/07/2020</t>
  </si>
  <si>
    <t>GESTÃO PÚBLICA  - 04/02/2019 31/12/2021</t>
  </si>
  <si>
    <t>AGROECOLOGIA  - 31/05/2019 20/12/2020</t>
  </si>
  <si>
    <t>TÉCNICO EM ADMINISTRAÇÃO INTEGRADO - 03/02/2020 30/12/2022</t>
  </si>
  <si>
    <t>Técnico em Controle Ambiental</t>
  </si>
  <si>
    <t>AMBIENTE E SAUDE</t>
  </si>
  <si>
    <t>TÉCNICO EM CONTROLE AMBIENTAL INTEGRADO - 03/02/2020 30/12/2022</t>
  </si>
  <si>
    <t>TÉCNICO EM INFORMÁTICA INTEGRADO - 03/02/2020 30/12/2022</t>
  </si>
  <si>
    <t>Técnico em Alimentos</t>
  </si>
  <si>
    <t>PRODUCAO ALIMENTICIA</t>
  </si>
  <si>
    <t>TÉCNICO EM ALIMENTOS INTEGRADO - 03/02/2020 30/12/2022</t>
  </si>
  <si>
    <t>GESTÃO PÚBLICA  - 03/02/2020 30/12/2022</t>
  </si>
  <si>
    <t>GESTÃO PÚBLICA  - 01/05/2021 29/02/2024</t>
  </si>
  <si>
    <t>TÉCNICO EM ADMINISTRAÇÃO INTEGRADO - 01/05/2021 29/02/2024</t>
  </si>
  <si>
    <t>TÉCNICO EM INFORMÁTICA INTEGRADO - 01/05/2021 29/02/2024</t>
  </si>
  <si>
    <t>TÉCNICO EM CONTROLE AMBIENTAL INTEGRADO - 01/05/2021 29/02/2024</t>
  </si>
  <si>
    <t>TÉCNICO EM AGROPECUÁRIA INTEGRADO - 01/06/2021 27/02/2024</t>
  </si>
  <si>
    <t>GESTÃO PÚBLICA  - 03/03/2022 28/02/2025</t>
  </si>
  <si>
    <t>TÉCNICO EM ADMINISTRAÇÃO INTEGRADO - 04/04/2022 31/01/2025</t>
  </si>
  <si>
    <t>TÉCNICO EM AGROPECUÁRIA INTEGRADO - 04/04/2022 31/01/2025</t>
  </si>
  <si>
    <t>TÉCNICO EM INFORMÁTICA INTEGRADO - 04/04/2022 31/01/2025</t>
  </si>
  <si>
    <t>Agente de Projetos Sociais</t>
  </si>
  <si>
    <t>AGENTE DE PROJETOS SOCIAIS  - 14/11/2022 07/04/2023</t>
  </si>
  <si>
    <t>GESTÃO PÚBLICA  - 06/02/2023 19/12/2025</t>
  </si>
  <si>
    <t>TÉCNICO EM ADMINISTRAÇÃO INTEGRADO - 20/03/2023 15/02/2026</t>
  </si>
  <si>
    <t>TÉCNICO EM AGROPECUÁRIA INTEGRADO - 20/03/2023 15/02/2026</t>
  </si>
  <si>
    <t>TÉCNICO EM INFORMÁTICA INTEGRADO - 20/03/2023 15/02/2026</t>
  </si>
  <si>
    <t>TÉCNICO EM INFRAESTRUTURA ESCOLAR SUBSEQUENTE - 01/04/2023 04/10/2024</t>
  </si>
  <si>
    <t>TÉCNICO EM ALIMENTAÇÃO ESCOLAR SUBSEQUENTE - 01/04/2023 04/10/2024</t>
  </si>
  <si>
    <t>TÉCNICO EM SECRETARIA ESCOLAR SUBSEQUENTE - 01/04/2023 04/10/2024</t>
  </si>
  <si>
    <t>ADMINISTRAÇÃO  - 04/03/2024 08/03/2028</t>
  </si>
  <si>
    <t>ZOOTECNIA  - 04/03/2024 04/03/2029</t>
  </si>
  <si>
    <t>TÉCNICO EM ADMINISTRAÇÃO INTEGRADO - 21/03/2024 21/12/2026</t>
  </si>
  <si>
    <t>TÉCNICO EM AGROPECUÁRIA INTEGRADO - 21/03/2024 31/12/2026</t>
  </si>
  <si>
    <t>TÉCNICO EM INFORMÁTICA INTEGRADO - 21/03/2024 31/12/2026</t>
  </si>
  <si>
    <t>Engenharia Florestal</t>
  </si>
  <si>
    <t>ENGENHARIA FLORESTAL  - 27/05/2013 31/12/2017</t>
  </si>
  <si>
    <t>ENGENHARIA FLORESTAL  - 07/05/2014 31/12/2018</t>
  </si>
  <si>
    <t>ENGENHARIA FLORESTAL  - 27/04/2015 31/12/2019</t>
  </si>
  <si>
    <t>Bubalinocultor de Leite</t>
  </si>
  <si>
    <t>CONCOMITANTE</t>
  </si>
  <si>
    <t>BUBALINOCULTOR DE LEITE CONCOMITANTE - 14/03/2016 05/08/2016</t>
  </si>
  <si>
    <t>ENGENHARIA FLORESTAL  - 13/06/2016 31/12/2020</t>
  </si>
  <si>
    <t>ENGENHARIA FLORESTAL  - 01/03/2017 01/06/2021</t>
  </si>
  <si>
    <t>TÉCNICO EM AGROPECUÁRIA INTEGRADO - 29/01/2018 31/12/2020</t>
  </si>
  <si>
    <t>TÉCNICO EM INFORMÁTICA INTEGRADO - 29/01/2018 31/12/2020</t>
  </si>
  <si>
    <t>ENGENHARIA FLORESTAL  - 01/02/2018 31/12/2022</t>
  </si>
  <si>
    <t>ENGENHARIA FLORESTAL  - 04/02/2019 31/12/2023</t>
  </si>
  <si>
    <t>TÉCNICO EM AGROPECUÁRIA INTEGRADO - 04/02/2019 17/12/2021</t>
  </si>
  <si>
    <t>TÉCNICO EM INFORMÁTICA INTEGRADO - 04/02/2019 13/12/2021</t>
  </si>
  <si>
    <t>TÉCNICO EM AGROPECUÁRIA SUBSEQUENTE - 22/08/2019 31/12/2020</t>
  </si>
  <si>
    <t>TÉCNICO EM AGROPECUÁRIA INTEGRADO - 03/02/2020 18/02/2022</t>
  </si>
  <si>
    <t>TÉCNICO EM INFORMÁTICA INTEGRADO - 03/02/2020 18/02/2022</t>
  </si>
  <si>
    <t>TÉCNICO EM AGROPECUÁRIA SUBSEQUENTE - 03/02/2020 31/07/2021</t>
  </si>
  <si>
    <t>ENGENHARIA FLORESTAL  - 03/02/2020 31/12/2024</t>
  </si>
  <si>
    <t>TÉCNICO EM AGROPECUÁRIA INTEGRADO - 15/03/2021 31/12/2023</t>
  </si>
  <si>
    <t>TÉCNICO EM INFORMÁTICA INTEGRADO - 15/03/2021 31/12/2023</t>
  </si>
  <si>
    <t>TÉCNICO EM AGROPECUÁRIA SUBSEQUENTE - 15/03/2021 15/07/2022</t>
  </si>
  <si>
    <t>ENGENHARIA FLORESTAL  - 15/03/2021 31/12/2025</t>
  </si>
  <si>
    <t>LICENCIATURA</t>
  </si>
  <si>
    <t>Química</t>
  </si>
  <si>
    <t>QUÍMICA  - 01/10/2021 31/07/2025</t>
  </si>
  <si>
    <t>TÉCNICO EM AGROPECUÁRIA SUBSEQUENTE - 02/10/2021 31/07/2022</t>
  </si>
  <si>
    <t>TÉCNICO EM AGROPECUÁRIA INTEGRADO - 01/02/2022 31/12/2024</t>
  </si>
  <si>
    <t>TÉCNICO EM INFORMÁTICA INTEGRADO - 01/02/2022 31/12/2024</t>
  </si>
  <si>
    <t>TÉCNICO EM AGROPECUÁRIA SUBSEQUENTE - 01/02/2022 31/07/2023</t>
  </si>
  <si>
    <t>QUÍMICA  - 01/02/2022 31/12/2025</t>
  </si>
  <si>
    <t>ENGENHARIA FLORESTAL  - 01/02/2022 31/12/2026</t>
  </si>
  <si>
    <t>TÉCNICO EM AGROPECUÁRIA SUBSEQUENTE - 25/07/2022 20/12/2023</t>
  </si>
  <si>
    <t>Agente de Limpeza e Conservação</t>
  </si>
  <si>
    <t>INFRAESTRUTURA</t>
  </si>
  <si>
    <t>AGENTE DE LIMPEZA E CONSERVAÇÃO  - 05/08/2022 05/11/2022</t>
  </si>
  <si>
    <t>Cervejeiro</t>
  </si>
  <si>
    <t>CERVEJEIRO  - 05/08/2022 05/11/2022</t>
  </si>
  <si>
    <t>Auxiliar de Cozinha</t>
  </si>
  <si>
    <t>AUXILIAR DE COZINHA  - 05/08/2022 05/11/2022</t>
  </si>
  <si>
    <t>TÉCNICO EM AGROPECUÁRIA INTEGRADO - 06/02/2023 20/12/2025</t>
  </si>
  <si>
    <t>TÉCNICO EM INFORMÁTICA INTEGRADO - 06/02/2023 20/12/2025</t>
  </si>
  <si>
    <t>TÉCNICO EM AGROPECUÁRIA SUBSEQUENTE - 06/02/2023 30/06/2024</t>
  </si>
  <si>
    <t>QUÍMICA  - 06/02/2023 20/12/2026</t>
  </si>
  <si>
    <t>ENGENHARIA FLORESTAL  - 06/02/2023 20/12/2027</t>
  </si>
  <si>
    <t>TÉCNICO EM ALIMENTAÇÃO ESCOLAR SUBSEQUENTE - 03/04/2023 31/10/2024</t>
  </si>
  <si>
    <t>TÉCNICO EM INFRAESTRUTURA ESCOLAR SUBSEQUENTE - 03/04/2023 31/10/2024</t>
  </si>
  <si>
    <t>TÉCNICO EM SECRETARIA ESCOLAR SUBSEQUENTE - 03/04/2023 31/10/2024</t>
  </si>
  <si>
    <t>Especialização em Educação e Gestão Ambiental</t>
  </si>
  <si>
    <t>ESPECIALIZAÇÃO EM EDUCAÇÃO E GESTÃO AMBIENTAL  - 13/06/2023 14/06/2024</t>
  </si>
  <si>
    <t>TÉCNICO EM AGROPECUÁRIA SUBSEQUENTE - 24/07/2023 20/12/2024</t>
  </si>
  <si>
    <t>Agente de Desenvolvimento Socioambiental</t>
  </si>
  <si>
    <t>AGENTE DE DESENVOLVIMENTO SOCIOAMBIENTAL  - 02/10/2023 16/12/2023</t>
  </si>
  <si>
    <t>Auxiliar de Fiscalização Ambiental</t>
  </si>
  <si>
    <t>AUXILIAR DE FISCALIZAÇÃO AMBIENTAL CONCOMITANTE - 01/11/2023 20/04/2024</t>
  </si>
  <si>
    <t>TÉCNICO EM AGROPECUÁRIA INTEGRADO - 05/02/2024 18/12/2026</t>
  </si>
  <si>
    <t>TÉCNICO EM INFORMÁTICA INTEGRADO - 05/02/2024 18/12/2026</t>
  </si>
  <si>
    <t>TÉCNICO EM AGROPECUÁRIA SUBSEQUENTE - 05/02/2024 27/06/2025</t>
  </si>
  <si>
    <t>QUÍMICA  - 05/02/2024 17/12/2027</t>
  </si>
  <si>
    <t>ENGENHARIA FLORESTAL  - 05/02/2024 22/12/2028</t>
  </si>
  <si>
    <t>Técnico em Agroindústria</t>
  </si>
  <si>
    <t>PROEJA - INTEGRADO</t>
  </si>
  <si>
    <t>TÉCNICO EM AGROINDÚSTRIA PROEJA - INTEGRADO - 19/02/2024 18/12/2026</t>
  </si>
  <si>
    <t>Técnico em Florestas</t>
  </si>
  <si>
    <t>TÉCNICO EM FLORESTAS INTEGRADO - 26/02/2024 18/12/2026</t>
  </si>
  <si>
    <t>Matemática</t>
  </si>
  <si>
    <t>MATEMÁTICA  - 09/02/2010 09/12/2013</t>
  </si>
  <si>
    <t>Agronomia</t>
  </si>
  <si>
    <t>AGRONOMIA  - 01/03/2011 23/12/2015</t>
  </si>
  <si>
    <t>AGRONOMIA  - 26/03/2012 22/12/2016</t>
  </si>
  <si>
    <t>Agroindústria</t>
  </si>
  <si>
    <t>AGROINDÚSTRIA  - 26/03/2012 19/12/2014</t>
  </si>
  <si>
    <t>AGRONOMIA  - 27/02/2013 22/12/2017</t>
  </si>
  <si>
    <t>MATEMÁTICA  - 27/02/2013 23/12/2016</t>
  </si>
  <si>
    <t>TÉCNICO EM AGROPECUÁRIA SUBSEQUENTE - 18/09/2013 09/12/2014</t>
  </si>
  <si>
    <t>AGRONOMIA  - 05/02/2014 20/12/2018</t>
  </si>
  <si>
    <t>MATEMÁTICA  - 05/02/2014 22/12/2017</t>
  </si>
  <si>
    <t>Processos Gerenciais</t>
  </si>
  <si>
    <t>PROCESSOS GERENCIAIS  - 15/08/2014 30/12/2016</t>
  </si>
  <si>
    <t>AGRONOMIA  - 01/09/2014 01/09/2019</t>
  </si>
  <si>
    <t>AGRONOMIA  - 20/02/2015 20/12/2019</t>
  </si>
  <si>
    <t>MATEMÁTICA  - 20/02/2015 20/12/2018</t>
  </si>
  <si>
    <t>AGROINDÚSTRIA  - 20/02/2015 21/12/2017</t>
  </si>
  <si>
    <t>AGRONOMIA  - 21/10/2015 30/07/2020</t>
  </si>
  <si>
    <t>PROCESSOS GERENCIAIS  - 21/10/2015 23/12/2017</t>
  </si>
  <si>
    <t>AGRONOMIA  - 11/04/2016 23/12/2020</t>
  </si>
  <si>
    <t>MATEMÁTICA  - 11/04/2016 23/12/2019</t>
  </si>
  <si>
    <t>AGROINDÚSTRIA  - 11/04/2016 23/12/2018</t>
  </si>
  <si>
    <t>Técnico em Manutenção e Suporte em Informática</t>
  </si>
  <si>
    <t>TÉCNICO EM MANUTENÇÃO E SUPORTE EM INFORMÁTICA INTEGRADO - 11/04/2016 22/12/2018</t>
  </si>
  <si>
    <t>AGRONOMIA  - 19/09/2016 30/07/2021</t>
  </si>
  <si>
    <t>AGROINDÚSTRIA  - 20/03/2017 23/12/2019</t>
  </si>
  <si>
    <t>PROCESSOS GERENCIAIS  - 20/03/2017 30/07/2019</t>
  </si>
  <si>
    <t>MATEMÁTICA  - 20/03/2017 22/12/2020</t>
  </si>
  <si>
    <t>AGRONOMIA  - 20/03/2017 22/12/2021</t>
  </si>
  <si>
    <t>AGRONOMIA  - 04/09/2017 30/07/2022</t>
  </si>
  <si>
    <t>AGRONOMIA  - 19/03/2018 22/12/2022</t>
  </si>
  <si>
    <t>AGROINDÚSTRIA  - 19/03/2018 22/12/2020</t>
  </si>
  <si>
    <t>PROCESSOS GERENCIAIS  - 19/03/2018 30/07/2020</t>
  </si>
  <si>
    <t>TÉCNICO EM AGROPECUÁRIA INTEGRADO - 19/03/2018 22/12/2020</t>
  </si>
  <si>
    <t>MATEMÁTICA  - 19/03/2018 30/07/2022</t>
  </si>
  <si>
    <t>AGRONOMIA  - 13/08/2018 30/07/2023</t>
  </si>
  <si>
    <t>AGRONOMIA  - 18/02/2019 21/12/2023</t>
  </si>
  <si>
    <t>PROCESSOS GERENCIAIS  - 18/02/2019 30/07/2021</t>
  </si>
  <si>
    <t>AGROINDÚSTRIA  - 18/02/2019 21/12/2021</t>
  </si>
  <si>
    <t>MATEMÁTICA  - 18/02/2019 21/12/2023</t>
  </si>
  <si>
    <t>TÉCNICO EM MANUTENÇÃO E SUPORTE EM INFORMÁTICA INTEGRADO - 18/02/2019 21/12/2021</t>
  </si>
  <si>
    <t>AGRONOMIA  - 28/07/2019 30/07/2023</t>
  </si>
  <si>
    <t>MATEMÁTICA  - 02/02/2020 02/02/2024</t>
  </si>
  <si>
    <t>AGRONOMIA  - 03/02/2020 18/12/2024</t>
  </si>
  <si>
    <t>PROCESSOS GERENCIAIS  - 03/02/2020 31/07/2022</t>
  </si>
  <si>
    <t>AGROINDÚSTRIA  - 03/02/2020 18/12/2022</t>
  </si>
  <si>
    <t>TÉCNICO EM MANUTENÇÃO E SUPORTE EM INFORMÁTICA INTEGRADO - 03/02/2020 18/12/2022</t>
  </si>
  <si>
    <t>AGRONOMIA  - 12/04/2021 18/12/2025</t>
  </si>
  <si>
    <t>TÉCNICO EM MANUTENÇÃO E SUPORTE EM INFORMÁTICA INTEGRADO - 12/04/2021 18/12/2023</t>
  </si>
  <si>
    <t>MATEMÁTICA  - 12/04/2021 21/06/2025</t>
  </si>
  <si>
    <t>AGROINDÚSTRIA  - 12/04/2021 18/12/2023</t>
  </si>
  <si>
    <t>PROCESSOS GERENCIAIS  - 12/04/2021 21/06/2023</t>
  </si>
  <si>
    <t>TÉCNICO EM AGROPECUÁRIA INTEGRADO - 12/04/2021 18/12/2023</t>
  </si>
  <si>
    <t>AGRONOMIA  - 01/09/2021 30/09/2026</t>
  </si>
  <si>
    <t>TÉCNICO EM AGROPECUÁRIA INTEGRADO - 07/03/2022 20/12/2024</t>
  </si>
  <si>
    <t>TÉCNICO EM MANUTENÇÃO E SUPORTE EM INFORMÁTICA INTEGRADO - 07/03/2022 20/12/2024</t>
  </si>
  <si>
    <t>AGROINDÚSTRIA  - 07/03/2022 20/12/2024</t>
  </si>
  <si>
    <t>PROCESSOS GERENCIAIS  - 07/03/2022 19/07/2024</t>
  </si>
  <si>
    <t>AGRONOMIA  - 07/03/2022 18/12/2026</t>
  </si>
  <si>
    <t>TÉCNICO EM AGROPECUÁRIA SUBSEQUENTE - 18/07/2022 15/12/2023</t>
  </si>
  <si>
    <t>AGRONOMIA  - 10/08/2022 30/08/2027</t>
  </si>
  <si>
    <t>TÉCNICO EM MANUTENÇÃO E SUPORTE EM INFORMÁTICA INTEGRADO - 06/02/2023 30/12/2025</t>
  </si>
  <si>
    <t>TÉCNICO EM AGROPECUÁRIA INTEGRADO - 06/02/2023 30/12/2025</t>
  </si>
  <si>
    <t>AGROINDÚSTRIA  - 06/02/2023 30/12/2025</t>
  </si>
  <si>
    <t>PROCESSOS GERENCIAIS  - 06/02/2023 30/06/2025</t>
  </si>
  <si>
    <t>AGRONOMIA  - 06/02/2023 30/12/2027</t>
  </si>
  <si>
    <t>MATEMÁTICA  - 06/02/2023 30/06/2027</t>
  </si>
  <si>
    <t>TÉCNICO EM AGROPECUÁRIA SUBSEQUENTE - 10/02/2023 30/06/2024</t>
  </si>
  <si>
    <t>TÉCNICO EM ALIMENTAÇÃO ESCOLAR SUBSEQUENTE - 03/03/2023 31/10/2024</t>
  </si>
  <si>
    <t>TÉCNICO EM INFRAESTRUTURA ESCOLAR SUBSEQUENTE - 03/03/2023 31/10/2024</t>
  </si>
  <si>
    <t>TÉCNICO EM SECRETARIA ESCOLAR SUBSEQUENTE - 03/03/2023 31/10/2024</t>
  </si>
  <si>
    <t>AGRONOMIA  - 26/07/2023 23/07/2028</t>
  </si>
  <si>
    <t>TÉCNICO EM AGROPECUÁRIA INTEGRADO - 01/02/2024 20/12/2026</t>
  </si>
  <si>
    <t>TÉCNICO EM MANUTENÇÃO E SUPORTE EM INFORMÁTICA INTEGRADO - 01/02/2024 20/12/2026</t>
  </si>
  <si>
    <t>AGRONOMIA  - 01/02/2024 31/12/2028</t>
  </si>
  <si>
    <t>AGROINDÚSTRIA  - 01/02/2024 30/12/2026</t>
  </si>
  <si>
    <t>PROCESSOS GERENCIAIS  - 01/02/2024 30/06/2026</t>
  </si>
  <si>
    <t>MATEMÁTICA  - 01/02/2024 30/12/2027</t>
  </si>
  <si>
    <t>AGRONOMIA  - 26/04/2010 22/12/2014</t>
  </si>
  <si>
    <t>AGRONOMIA  - 01/03/2011 22/12/2015</t>
  </si>
  <si>
    <t>AGRONOMIA  - 20/03/2012 23/12/2016</t>
  </si>
  <si>
    <t>QUÍMICA  - 20/03/2012 21/12/2015</t>
  </si>
  <si>
    <t>AGRONOMIA  - 02/03/2015 20/12/2019</t>
  </si>
  <si>
    <t>AGRONOMIA  - 18/04/2016 23/12/2020</t>
  </si>
  <si>
    <t>Ciências Biológicas</t>
  </si>
  <si>
    <t>CIÊNCIAS BIOLÓGICAS  - 18/04/2016 23/12/2019</t>
  </si>
  <si>
    <t>Física</t>
  </si>
  <si>
    <t>FÍSICA  - 18/04/2016 23/12/2019</t>
  </si>
  <si>
    <t>AGRONOMIA  - 15/05/2017 20/12/2021</t>
  </si>
  <si>
    <t>CIÊNCIAS BIOLÓGICAS  - 15/05/2017 21/12/2020</t>
  </si>
  <si>
    <t>QUÍMICA  - 15/05/2017 21/12/2020</t>
  </si>
  <si>
    <t>FÍSICA  - 15/05/2017 21/12/2020</t>
  </si>
  <si>
    <t>TÉCNICO EM COMÉRCIO INTEGRADO - 15/05/2017 23/12/2019</t>
  </si>
  <si>
    <t>QUÍMICA  - 19/02/2018 31/12/2021</t>
  </si>
  <si>
    <t>CIÊNCIAS BIOLÓGICAS  - 02/04/2018 31/12/2021</t>
  </si>
  <si>
    <t>AGRONOMIA  - 02/04/2018 31/12/2022</t>
  </si>
  <si>
    <t>TÉCNICO EM AGROPECUÁRIA INTEGRADO - 04/02/2019 31/12/2021</t>
  </si>
  <si>
    <t>TÉCNICO EM AGROINDÚSTRIA INTEGRADO - 04/02/2019 31/12/2021</t>
  </si>
  <si>
    <t>AGRONOMIA  - 11/03/2019 31/12/2023</t>
  </si>
  <si>
    <t>CIÊNCIAS BIOLÓGICAS  - 11/03/2019 31/12/2022</t>
  </si>
  <si>
    <t>QUÍMICA  - 11/03/2019 31/12/2022</t>
  </si>
  <si>
    <t>TÉCNICO EM COMÉRCIO PROEJA - INTEGRADO - 11/03/2019 31/12/2021</t>
  </si>
  <si>
    <t>TÉCNICO EM AGROPECUÁRIA INTEGRADO - 03/02/2020 31/12/2022</t>
  </si>
  <si>
    <t>TÉCNICO EM AGROINDÚSTRIA INTEGRADO - 03/02/2020 31/12/2022</t>
  </si>
  <si>
    <t>QUÍMICA  - 03/02/2020 31/12/2023</t>
  </si>
  <si>
    <t>FÍSICA  - 03/02/2020 31/12/2023</t>
  </si>
  <si>
    <t>CIÊNCIAS BIOLÓGICAS  - 03/02/2020 31/12/2023</t>
  </si>
  <si>
    <t>AGRONOMIA  - 03/02/2020 31/12/2024</t>
  </si>
  <si>
    <t>QUÍMICA  - 01/04/2021 31/12/2024</t>
  </si>
  <si>
    <t>CIÊNCIAS BIOLÓGICAS  - 01/04/2021 31/12/2024</t>
  </si>
  <si>
    <t>FÍSICA  - 01/04/2021 31/12/2024</t>
  </si>
  <si>
    <t>AGRONOMIA  - 01/04/2021 31/12/2025</t>
  </si>
  <si>
    <t>TÉCNICO EM AGROPECUÁRIA INTEGRADO - 01/04/2021 31/12/2023</t>
  </si>
  <si>
    <t>TÉCNICO EM AGROINDÚSTRIA INTEGRADO - 01/04/2021 31/12/2023</t>
  </si>
  <si>
    <t>Especialização em Ensino de Ciências</t>
  </si>
  <si>
    <t>ESPECIALIZAÇÃO EM ENSINO DE CIÊNCIAS  - 02/08/2021 02/01/2023</t>
  </si>
  <si>
    <t>Especialização em Educação do Campo</t>
  </si>
  <si>
    <t>ESPECIALIZAÇÃO EM EDUCAÇÃO DO CAMPO  - 02/08/2021 02/02/2023</t>
  </si>
  <si>
    <t>TÉCNICO EM AGROPECUÁRIA INTEGRADO - 14/02/2022 31/12/2024</t>
  </si>
  <si>
    <t>TÉCNICO EM AGROINDÚSTRIA INTEGRADO - 14/02/2022 31/12/2024</t>
  </si>
  <si>
    <t>AGRONOMIA  - 14/02/2022 31/12/2026</t>
  </si>
  <si>
    <t>CIÊNCIAS BIOLÓGICAS  - 14/02/2022 31/12/2025</t>
  </si>
  <si>
    <t>QUÍMICA  - 14/02/2022 31/12/2025</t>
  </si>
  <si>
    <t>FÍSICA  - 14/02/2022 31/12/2025</t>
  </si>
  <si>
    <t>Técnico em Zootecnia</t>
  </si>
  <si>
    <t>TÉCNICO EM ZOOTECNIA SUBSEQUENTE - 14/02/2022 30/09/2023</t>
  </si>
  <si>
    <t>OUTROS RECURSOS EXTERNOS</t>
  </si>
  <si>
    <t>Especialização em Direitos Humanos e Garantias Fundamentais</t>
  </si>
  <si>
    <t>SEGURANCA</t>
  </si>
  <si>
    <t>ESPECIALIZAÇÃO EM DIREITOS HUMANOS E GARANTIAS FUNDAMENTAIS  - 18/03/2022 18/09/2023</t>
  </si>
  <si>
    <t>Qualificação Profissional - Segurança</t>
  </si>
  <si>
    <t>QUALIFICAÇÃO PROFISSIONAL - SEGURANÇA  - 18/03/2022 18/03/2023</t>
  </si>
  <si>
    <t>Qualificação Profissional - Recursos Naturais</t>
  </si>
  <si>
    <t>QUALIFICAÇÃO PROFISSIONAL - RECURSOS NATURAIS  - 24/03/2022 24/09/2023</t>
  </si>
  <si>
    <t>Especialização em Solos e Nutrição de Plantas</t>
  </si>
  <si>
    <t>ESPECIALIZAÇÃO EM SOLOS E NUTRIÇÃO DE PLANTAS  - 02/08/2022 02/02/2024</t>
  </si>
  <si>
    <t>TÉCNICO EM AGROPECUÁRIA INTEGRADO - 06/02/2023 31/12/2025</t>
  </si>
  <si>
    <t>TÉCNICO EM AGROINDÚSTRIA INTEGRADO - 06/02/2023 31/12/2025</t>
  </si>
  <si>
    <t>TÉCNICO EM ZOOTECNIA SUBSEQUENTE - 06/02/2023 31/07/2024</t>
  </si>
  <si>
    <t>CIÊNCIAS BIOLÓGICAS  - 06/02/2023 31/12/2026</t>
  </si>
  <si>
    <t>QUÍMICA  - 06/02/2023 31/12/2026</t>
  </si>
  <si>
    <t>FÍSICA  - 06/02/2023 31/12/2026</t>
  </si>
  <si>
    <t>AGRONOMIA  - 06/02/2023 31/12/2026</t>
  </si>
  <si>
    <t>ESPECIALIZAÇÃO EM SOLOS E NUTRIÇÃO DE PLANTAS  - 06/02/2023 31/07/2024</t>
  </si>
  <si>
    <t>MATEMÁTICA  - 06/02/2023 31/12/2026</t>
  </si>
  <si>
    <t>TÉCNICO EM ADMINISTRAÇÃO PROEJA - INTEGRADO - 06/02/2023 31/07/2025</t>
  </si>
  <si>
    <t>TÉCNICO EM INFRAESTRUTURA ESCOLAR SUBSEQUENTE - 03/04/2023 03/09/2024</t>
  </si>
  <si>
    <t>TÉCNICO EM ALIMENTAÇÃO ESCOLAR SUBSEQUENTE - 03/04/2023 03/09/2024</t>
  </si>
  <si>
    <t>TÉCNICO EM SECRETARIA ESCOLAR SUBSEQUENTE - 03/04/2023 03/09/2024</t>
  </si>
  <si>
    <t>Técnico em Agricultura</t>
  </si>
  <si>
    <t>TÉCNICO EM AGRICULTURA CONCOMITANTE - 02/08/2023 31/12/2025</t>
  </si>
  <si>
    <t>TÉCNICO EM AGROPECUÁRIA INTEGRADO - 05/02/2024 31/12/2026</t>
  </si>
  <si>
    <t>TÉCNICO EM AGROINDÚSTRIA INTEGRADO - 05/02/2024 31/12/2026</t>
  </si>
  <si>
    <t>TÉCNICO EM ZOOTECNIA SUBSEQUENTE - 05/02/2024 31/07/2025</t>
  </si>
  <si>
    <t>AGRONOMIA  - 05/02/2024 31/10/2028</t>
  </si>
  <si>
    <t>MATEMÁTICA  - 05/02/2024 31/12/2027</t>
  </si>
  <si>
    <t>CIÊNCIAS BIOLÓGICAS  - 05/02/2024 31/12/2027</t>
  </si>
  <si>
    <t>QUÍMICA  - 05/02/2024 31/12/2027</t>
  </si>
  <si>
    <t>FÍSICA  - 05/02/2024 31/12/2027</t>
  </si>
  <si>
    <t>Técnico em Agroecologia</t>
  </si>
  <si>
    <t>TÉCNICO EM AGROECOLOGIA CONCOMITANTE - 05/02/2024 31/12/2026</t>
  </si>
  <si>
    <t>Técnico em Marketing</t>
  </si>
  <si>
    <t>TÉCNICO EM MARKETING CONCOMITANTE - 05/02/2024 31/12/2026</t>
  </si>
  <si>
    <t>TÉCNICO EM AGROPECUÁRIA CONCOMITANTE - 05/02/2024 31/12/2026</t>
  </si>
  <si>
    <t>ESPECIALIZAÇÃO EM ENSINO DE CIÊNCIAS  - 29/02/2024 01/10/2024</t>
  </si>
  <si>
    <t>Meliponicultor</t>
  </si>
  <si>
    <t>MELIPONICULTOR  - 29/02/2024 24/04/2024</t>
  </si>
  <si>
    <t>Operador de Telemarketing</t>
  </si>
  <si>
    <t>OPERADOR DE TELEMARKETING  - 01/07/2024 31/07/2024</t>
  </si>
  <si>
    <t>QUALIFICAÇÃO PROFISSIONAL - SEGURANÇA  - 01/08/2024 30/11/2024</t>
  </si>
  <si>
    <t>Fruticultor</t>
  </si>
  <si>
    <t>FRUTICULTOR  - 21/08/2024 27/11/2024</t>
  </si>
  <si>
    <t>Língua Portuguesa e Cultura Brasileira para Estrangeiros ­ Básico</t>
  </si>
  <si>
    <t>LÍNGUA PORTUGUESA E CULTURA BRASILEIRA PARA ESTRANGEIROS ­ BÁSICO  - 01/09/2024 20/11/2024</t>
  </si>
  <si>
    <t>Secretariado Executivo</t>
  </si>
  <si>
    <t>SECRETARIADO EXECUTIVO  - 26/07/2011 20/06/2014</t>
  </si>
  <si>
    <t>SECRETARIADO EXECUTIVO  - 09/04/2012 23/12/2014</t>
  </si>
  <si>
    <t>Construção de Edifícios</t>
  </si>
  <si>
    <t>CONSTRUÇÃO DE EDIFÍCIOS  - 09/04/2012 23/12/2014</t>
  </si>
  <si>
    <t>Sistemas para Internet</t>
  </si>
  <si>
    <t>SISTEMAS PARA INTERNET  - 09/04/2012 23/12/2014</t>
  </si>
  <si>
    <t>Automação Industrial</t>
  </si>
  <si>
    <t>CONTROLE E PROCESSOS INDUSTRIAIS</t>
  </si>
  <si>
    <t>AUTOMAÇÃO INDUSTRIAL  - 10/09/2012 23/12/2015</t>
  </si>
  <si>
    <t>SISTEMAS PARA INTERNET  - 10/09/2012 07/08/2015</t>
  </si>
  <si>
    <t>Engenharia de Computação</t>
  </si>
  <si>
    <t>ENGENHARIA DE COMPUTAÇÃO  - 10/09/2012 28/07/2017</t>
  </si>
  <si>
    <t>Engenharia de Controle e Automação</t>
  </si>
  <si>
    <t>ENGENHARIA DE CONTROLE E AUTOMAÇÃO  - 10/09/2012 28/07/2017</t>
  </si>
  <si>
    <t>UAB</t>
  </si>
  <si>
    <t>SISTEMAS PARA INTERNET  - 15/10/2012 14/08/2015</t>
  </si>
  <si>
    <t>ENGENHARIA DE COMPUTAÇÃO  - 23/05/2013 22/12/2017</t>
  </si>
  <si>
    <t>ENGENHARIA DE CONTROLE E AUTOMAÇÃO  - 23/05/2013 22/12/2017</t>
  </si>
  <si>
    <t>CONSTRUÇÃO DE EDIFÍCIOS  - 23/05/2013 23/12/2015</t>
  </si>
  <si>
    <t>SISTEMAS PARA INTERNET  - 23/05/2013 23/12/2015</t>
  </si>
  <si>
    <t>ENGENHARIA DE COMPUTAÇÃO  - 01/10/2013 30/07/2018</t>
  </si>
  <si>
    <t>ENGENHARIA DE CONTROLE E AUTOMAÇÃO  - 01/10/2013 30/07/2018</t>
  </si>
  <si>
    <t>AUTOMAÇÃO INDUSTRIAL  - 01/10/2013 23/12/2016</t>
  </si>
  <si>
    <t>SISTEMAS PARA INTERNET  - 01/10/2013 29/07/2016</t>
  </si>
  <si>
    <t>SISTEMAS PARA INTERNET  - 01/12/2013 23/12/2016</t>
  </si>
  <si>
    <t>ENGENHARIA DE COMPUTAÇÃO  - 03/04/2014 22/12/2018</t>
  </si>
  <si>
    <t>ENGENHARIA DE CONTROLE E AUTOMAÇÃO  - 03/04/2014 22/12/2018</t>
  </si>
  <si>
    <t>SECRETARIADO EXECUTIVO  - 03/04/2014 23/12/2016</t>
  </si>
  <si>
    <t>AUTOMAÇÃO INDUSTRIAL  - 03/04/2014 14/07/2017</t>
  </si>
  <si>
    <t>SISTEMAS PARA INTERNET  - 03/04/2014 23/12/2016</t>
  </si>
  <si>
    <t>Técnico em Eletrotécnica</t>
  </si>
  <si>
    <t>TÉCNICO EM ELETROTÉCNICA SUBSEQUENTE - 03/04/2014 23/12/2015</t>
  </si>
  <si>
    <t>ENGENHARIA DE CONTROLE E AUTOMAÇÃO  - 01/09/2014 16/08/2019</t>
  </si>
  <si>
    <t>Controle de Obras</t>
  </si>
  <si>
    <t>CONTROLE DE OBRAS  - 01/09/2014 22/12/2017</t>
  </si>
  <si>
    <t>ENGENHARIA DE CONTROLE E AUTOMAÇÃO  - 12/03/2015 23/12/2019</t>
  </si>
  <si>
    <t>ENGENHARIA DE COMPUTAÇÃO  - 12/03/2015 23/12/2019</t>
  </si>
  <si>
    <t>AUTOMAÇÃO INDUSTRIAL  - 12/03/2015 17/08/2018</t>
  </si>
  <si>
    <t>Geoprocessamento</t>
  </si>
  <si>
    <t>GEOPROCESSAMENTO  - 12/03/2015 22/12/2017</t>
  </si>
  <si>
    <t>SISTEMAS PARA INTERNET  - 12/03/2015 22/12/2017</t>
  </si>
  <si>
    <t>Turismo</t>
  </si>
  <si>
    <t>TURISMO  - 10/08/2015 14/06/2019</t>
  </si>
  <si>
    <t>SISTEMAS PARA INTERNET  - 04/11/2015 20/07/2018</t>
  </si>
  <si>
    <t>AUTOMAÇÃO INDUSTRIAL  - 26/11/2015 23/12/2018</t>
  </si>
  <si>
    <t>SECRETARIADO EXECUTIVO  - 26/11/2015 17/08/2018</t>
  </si>
  <si>
    <t>ENGENHARIA DE CONTROLE E AUTOMAÇÃO  - 26/11/2015 14/08/2020</t>
  </si>
  <si>
    <t>ENGENHARIA DE CONTROLE E AUTOMAÇÃO  - 12/05/2016 23/12/2020</t>
  </si>
  <si>
    <t>ENGENHARIA DE COMPUTAÇÃO  - 12/05/2016 23/12/2020</t>
  </si>
  <si>
    <t>SECRETARIADO EXECUTIVO  - 12/05/2016 22/12/2018</t>
  </si>
  <si>
    <t>TURISMO  - 12/05/2016 22/12/2018</t>
  </si>
  <si>
    <t>AUTOMAÇÃO INDUSTRIAL  - 12/05/2016 19/07/2019</t>
  </si>
  <si>
    <t>CONSTRUÇÃO DE EDIFÍCIOS  - 12/05/2016 22/12/2018</t>
  </si>
  <si>
    <t>CONTROLE DE OBRAS  - 12/05/2016 19/07/2019</t>
  </si>
  <si>
    <t>Redes de Computadores</t>
  </si>
  <si>
    <t>REDES DE COMPUTADORES  - 12/05/2016 22/12/2018</t>
  </si>
  <si>
    <t>SISTEMAS PARA INTERNET  - 12/05/2016 22/12/2018</t>
  </si>
  <si>
    <t>ENGENHARIA DE CONTROLE E AUTOMAÇÃO  - 03/10/2016 13/08/2021</t>
  </si>
  <si>
    <t>SECRETARIADO EXECUTIVO  - 03/10/2016 16/08/2019</t>
  </si>
  <si>
    <t>TURISMO  - 03/10/2016 16/08/2019</t>
  </si>
  <si>
    <t>AUTOMAÇÃO INDUSTRIAL  - 03/10/2016 23/12/2019</t>
  </si>
  <si>
    <t>CONSTRUÇÃO DE EDIFÍCIOS  - 03/10/2016 16/08/2019</t>
  </si>
  <si>
    <t>CONTROLE DE OBRAS  - 03/10/2016 23/12/2019</t>
  </si>
  <si>
    <t>Técnico em Edificações</t>
  </si>
  <si>
    <t>TÉCNICO EM EDIFICAÇÕES INTEGRADO - 17/04/2017 15/01/2021</t>
  </si>
  <si>
    <t>TÉCNICO EM SECRETARIADO INTEGRADO - 17/04/2017 17/01/2020</t>
  </si>
  <si>
    <t>TÉCNICO EM INFORMÁTICA INTEGRADO - 17/04/2017 17/01/2020</t>
  </si>
  <si>
    <t>TÉCNICO EM EDIFICAÇÕES SUBSEQUENTE - 17/04/2017 15/02/2019</t>
  </si>
  <si>
    <t>TÉCNICO EM ELETROTÉCNICA SUBSEQUENTE - 17/04/2017 15/02/2019</t>
  </si>
  <si>
    <t>SISTEMAS PARA INTERNET  - 17/04/2017 17/01/2020</t>
  </si>
  <si>
    <t>ENGENHARIA DE COMPUTAÇÃO  - 17/04/2017 23/12/2021</t>
  </si>
  <si>
    <t>ENGENHARIA DE CONTROLE E AUTOMAÇÃO  - 17/04/2017 23/12/2021</t>
  </si>
  <si>
    <t>SECRETARIADO EXECUTIVO  - 17/04/2017 19/02/2021</t>
  </si>
  <si>
    <t>TURISMO  - 17/04/2017 17/01/2020</t>
  </si>
  <si>
    <t>AUTOMAÇÃO INDUSTRIAL  - 17/04/2017 14/08/2020</t>
  </si>
  <si>
    <t>CONTROLE DE OBRAS  - 17/04/2017 14/08/2020</t>
  </si>
  <si>
    <t>GEOPROCESSAMENTO  - 17/04/2017 17/01/2020</t>
  </si>
  <si>
    <t>REDES DE COMPUTADORES  - 17/04/2017 17/01/2020</t>
  </si>
  <si>
    <t>AUTOMAÇÃO INDUSTRIAL  - 11/10/2017 23/12/2020</t>
  </si>
  <si>
    <t>CONSTRUÇÃO DE EDIFÍCIOS  - 11/10/2017 15/08/2020</t>
  </si>
  <si>
    <t>CONTROLE DE OBRAS  - 11/10/2017 23/12/2020</t>
  </si>
  <si>
    <t>ENGENHARIA DE CONTROLE E AUTOMAÇÃO  - 11/10/2017 13/02/2022</t>
  </si>
  <si>
    <t>SECRETARIADO EXECUTIVO  - 11/10/2017 15/08/2020</t>
  </si>
  <si>
    <t>TURISMO  - 11/10/2017 15/08/2020</t>
  </si>
  <si>
    <t>TÉCNICO EM EDIFICAÇÕES SUBSEQUENTE - 11/10/2017 17/08/2019</t>
  </si>
  <si>
    <t>TÉCNICO EM ELETROTÉCNICA SUBSEQUENTE - 11/10/2017 17/08/2019</t>
  </si>
  <si>
    <t>Técnico em Agrimensura</t>
  </si>
  <si>
    <t>TÉCNICO EM AGRIMENSURA INTEGRADO - 19/03/2018 23/12/2021</t>
  </si>
  <si>
    <t>TÉCNICO EM EDIFICAÇÕES INTEGRADO - 19/03/2018 23/12/2021</t>
  </si>
  <si>
    <t>TÉCNICO EM AGRIMENSURA SUBSEQUENTE - 19/03/2018 23/12/2019</t>
  </si>
  <si>
    <t>Técnico em Eletrônica</t>
  </si>
  <si>
    <t>TÉCNICO EM ELETRÔNICA SUBSEQUENTE - 19/03/2018 23/12/2019</t>
  </si>
  <si>
    <t>ENGENHARIA DE CONTROLE E AUTOMAÇÃO  - 19/03/2018 23/12/2022</t>
  </si>
  <si>
    <t>ENGENHARIA DE COMPUTAÇÃO  - 19/03/2018 23/12/2022</t>
  </si>
  <si>
    <t>SECRETARIADO EXECUTIVO  - 19/03/2018 23/12/2020</t>
  </si>
  <si>
    <t>TURISMO  - 19/03/2018 23/12/2020</t>
  </si>
  <si>
    <t>AUTOMAÇÃO INDUSTRIAL  - 19/03/2018 16/08/2021</t>
  </si>
  <si>
    <t>CONTROLE DE OBRAS  - 19/03/2018 16/08/2021</t>
  </si>
  <si>
    <t>GEOPROCESSAMENTO  - 19/03/2018 23/12/2020</t>
  </si>
  <si>
    <t>REDES DE COMPUTADORES  - 19/03/2018 23/12/2020</t>
  </si>
  <si>
    <t>SISTEMAS PARA INTERNET  - 19/03/2018 23/12/2020</t>
  </si>
  <si>
    <t>LÍNGUA PORTUGUESA E CULTURA BRASILEIRA PARA ESTRANGEIROS ­ BÁSICO SUBSEQUENTE - 22/05/2018 23/12/2018</t>
  </si>
  <si>
    <t>TÉCNICO EM AGRIMENSURA SUBSEQUENTE - 13/08/2018 10/07/2020</t>
  </si>
  <si>
    <t>TÉCNICO EM ELETRÔNICA SUBSEQUENTE - 13/08/2018 10/07/2020</t>
  </si>
  <si>
    <t>TÉCNICO EM ELETROTÉCNICA SUBSEQUENTE - 13/08/2018 10/07/2020</t>
  </si>
  <si>
    <t>ENGENHARIA DE COMPUTAÇÃO  - 13/08/2018 14/07/2023</t>
  </si>
  <si>
    <t>ENGENHARIA DE CONTROLE E AUTOMAÇÃO  - 13/08/2018 14/07/2023</t>
  </si>
  <si>
    <t>SECRETARIADO EXECUTIVO  - 13/08/2018 16/07/2021</t>
  </si>
  <si>
    <t>TURISMO  - 13/08/2018 16/07/2021</t>
  </si>
  <si>
    <t>AUTOMAÇÃO INDUSTRIAL  - 13/08/2018 23/12/2021</t>
  </si>
  <si>
    <t>CONSTRUÇÃO DE EDIFÍCIOS  - 13/08/2018 23/12/2021</t>
  </si>
  <si>
    <t>CONTROLE DE OBRAS  - 13/08/2018 23/12/2021</t>
  </si>
  <si>
    <t>Pedagogia</t>
  </si>
  <si>
    <t>PEDAGOGIA  - 20/10/2018 17/09/2022</t>
  </si>
  <si>
    <t>TÉCNICO EM AGRIMENSURA INTEGRADO - 04/02/2019 23/12/2022</t>
  </si>
  <si>
    <t>TÉCNICO EM EDIFICAÇÕES INTEGRADO - 04/02/2019 23/12/2022</t>
  </si>
  <si>
    <t>Técnico em Eventos</t>
  </si>
  <si>
    <t>TÉCNICO EM EVENTOS INTEGRADO - 04/02/2019 23/12/2021</t>
  </si>
  <si>
    <t>TÉCNICO EM SECRETARIADO INTEGRADO - 04/02/2019 23/12/2021</t>
  </si>
  <si>
    <t>TÉCNICO EM AGRIMENSURA SUBSEQUENTE - 04/02/2019 23/12/2020</t>
  </si>
  <si>
    <t>TÉCNICO EM EDIFICAÇÕES SUBSEQUENTE - 04/02/2019 23/12/2020</t>
  </si>
  <si>
    <t>TÉCNICO EM ELETRÔNICA SUBSEQUENTE - 04/02/2019 23/12/2020</t>
  </si>
  <si>
    <t>TÉCNICO EM ELETROTÉCNICA SUBSEQUENTE - 04/02/2019 23/12/2020</t>
  </si>
  <si>
    <t>ENGENHARIA DE COMPUTAÇÃO  - 04/02/2019 23/12/2023</t>
  </si>
  <si>
    <t>ENGENHARIA DE CONTROLE E AUTOMAÇÃO  - 04/02/2019 23/12/2023</t>
  </si>
  <si>
    <t>SECRETARIADO EXECUTIVO  - 04/02/2019 23/12/2021</t>
  </si>
  <si>
    <t>TURISMO  - 04/02/2019 23/12/2021</t>
  </si>
  <si>
    <t>AUTOMAÇÃO INDUSTRIAL  - 04/02/2019 30/07/2022</t>
  </si>
  <si>
    <t>CONSTRUÇÃO DE EDIFÍCIOS  - 04/02/2019 30/07/2022</t>
  </si>
  <si>
    <t>CONTROLE DE OBRAS  - 04/02/2019 30/07/2022</t>
  </si>
  <si>
    <t>GEOPROCESSAMENTO  - 04/02/2019 23/12/2021</t>
  </si>
  <si>
    <t>REDES DE COMPUTADORES  - 04/02/2019 23/12/2021</t>
  </si>
  <si>
    <t>SISTEMAS PARA INTERNET  - 04/02/2019 23/12/2021</t>
  </si>
  <si>
    <t>Educação Física</t>
  </si>
  <si>
    <t>EDUCAÇÃO FÍSICA  - 04/02/2019 23/12/2022</t>
  </si>
  <si>
    <t>TÉCNICO EM AGRIMENSURA SUBSEQUENTE - 15/07/2019 30/06/2021</t>
  </si>
  <si>
    <t>TÉCNICO EM ELETROTÉCNICA SUBSEQUENTE - 15/07/2019 30/06/2021</t>
  </si>
  <si>
    <t>TÉCNICO EM ELETRÔNICA SUBSEQUENTE - 15/07/2019 30/06/2021</t>
  </si>
  <si>
    <t>ENGENHARIA DE COMPUTAÇÃO  - 15/07/2019 28/06/2024</t>
  </si>
  <si>
    <t>ENGENHARIA DE CONTROLE E AUTOMAÇÃO  - 15/07/2019 28/06/2024</t>
  </si>
  <si>
    <t>SECRETARIADO EXECUTIVO  - 15/07/2019 30/06/2022</t>
  </si>
  <si>
    <t>TURISMO  - 15/07/2019 30/06/2022</t>
  </si>
  <si>
    <t>CONSTRUÇÃO DE EDIFÍCIOS  - 15/07/2019 23/12/2022</t>
  </si>
  <si>
    <t>CONTROLE DE OBRAS  - 15/07/2019 23/12/2022</t>
  </si>
  <si>
    <t>GEOPROCESSAMENTO  - 15/07/2019 30/06/2022</t>
  </si>
  <si>
    <t>REDES DE COMPUTADORES  - 15/07/2019 30/06/2022</t>
  </si>
  <si>
    <t>SISTEMAS PARA INTERNET  - 25/07/2019 30/07/2022</t>
  </si>
  <si>
    <t>TÉCNICO EM AGRIMENSURA INTEGRADO - 03/02/2020 23/12/2023</t>
  </si>
  <si>
    <t>TÉCNICO EM EVENTOS INTEGRADO - 03/02/2020 23/12/2022</t>
  </si>
  <si>
    <t>TÉCNICO EM SECRETARIADO INTEGRADO - 03/02/2020 23/12/2022</t>
  </si>
  <si>
    <t>TÉCNICO EM EDIFICAÇÕES INTEGRADO - 03/02/2020 23/12/2023</t>
  </si>
  <si>
    <t>TÉCNICO EM ELETRÔNICA INTEGRADO - 03/02/2020 23/12/2022</t>
  </si>
  <si>
    <t>TÉCNICO EM ELETROTÉCNICA INTEGRADO - 03/02/2020 23/12/2022</t>
  </si>
  <si>
    <t>TÉCNICO EM AGRIMENSURA SUBSEQUENTE - 03/02/2020 23/12/2021</t>
  </si>
  <si>
    <t>TÉCNICO EM EDIFICAÇÕES SUBSEQUENTE - 03/02/2020 23/12/2021</t>
  </si>
  <si>
    <t>TÉCNICO EM ELETROTÉCNICA SUBSEQUENTE - 03/02/2020 23/12/2021</t>
  </si>
  <si>
    <t>TÉCNICO EM ELETRÔNICA SUBSEQUENTE - 03/02/2020 23/12/2021</t>
  </si>
  <si>
    <t>CONSTRUÇÃO DE EDIFÍCIOS  - 03/02/2020 30/07/2023</t>
  </si>
  <si>
    <t>CONTROLE DE OBRAS  - 03/02/2020 30/07/2023</t>
  </si>
  <si>
    <t>GEOPROCESSAMENTO  - 03/02/2020 23/12/2022</t>
  </si>
  <si>
    <t>REDES DE COMPUTADORES  - 03/02/2020 23/12/2022</t>
  </si>
  <si>
    <t>SISTEMAS PARA INTERNET  - 03/02/2020 23/12/2022</t>
  </si>
  <si>
    <t>ENGENHARIA DE COMPUTAÇÃO  - 03/02/2020 23/12/2024</t>
  </si>
  <si>
    <t>ENGENHARIA DE CONTROLE E AUTOMAÇÃO  - 03/02/2020 23/12/2024</t>
  </si>
  <si>
    <t>SECRETARIADO EXECUTIVO  - 03/02/2020 23/12/2022</t>
  </si>
  <si>
    <t>TURISMO  - 03/02/2020 23/12/2022</t>
  </si>
  <si>
    <t>Engenharia Elétrica</t>
  </si>
  <si>
    <t>ENGENHARIA ELÉTRICA  - 03/02/2020 23/12/2024</t>
  </si>
  <si>
    <t>EDUCAÇÃO FÍSICA  - 03/02/2020 23/12/2023</t>
  </si>
  <si>
    <t>MESTRADO PROFISSIONAL</t>
  </si>
  <si>
    <t>Mestrado Profissional em Educação Profissional</t>
  </si>
  <si>
    <t>MESTRADO PROFISSIONAL EM EDUCAÇÃO PROFISSIONAL  - 09/04/2021 29/03/2023</t>
  </si>
  <si>
    <t>TÉCNICO EM AGRIMENSURA INTEGRADO - 26/04/2021 23/12/2024</t>
  </si>
  <si>
    <t>TÉCNICO EM EDIFICAÇÕES INTEGRADO - 26/04/2021 23/12/2024</t>
  </si>
  <si>
    <t>TÉCNICO EM ELETROTÉCNICA INTEGRADO - 26/04/2021 23/12/2023</t>
  </si>
  <si>
    <t>TÉCNICO EM ELETRÔNICA INTEGRADO - 26/04/2021 23/12/2023</t>
  </si>
  <si>
    <t>TÉCNICO EM EVENTOS INTEGRADO - 26/04/2021 23/12/2023</t>
  </si>
  <si>
    <t>TÉCNICO EM INFORMÁTICA INTEGRADO - 26/04/2021 23/12/2023</t>
  </si>
  <si>
    <t>TÉCNICO EM SECRETARIADO INTEGRADO - 26/04/2021 23/12/2023</t>
  </si>
  <si>
    <t>TÉCNICO EM AGRIMENSURA SUBSEQUENTE - 26/04/2021 23/12/2022</t>
  </si>
  <si>
    <t>TÉCNICO EM EDIFICAÇÕES SUBSEQUENTE - 26/04/2021 23/12/2022</t>
  </si>
  <si>
    <t>TÉCNICO EM ELETROTÉCNICA SUBSEQUENTE - 26/04/2021 23/12/2022</t>
  </si>
  <si>
    <t>TÉCNICO EM ELETRÔNICA SUBSEQUENTE - 26/04/2021 23/12/2022</t>
  </si>
  <si>
    <t>ENGENHARIA DE COMPUTAÇÃO  - 26/04/2021 23/12/2025</t>
  </si>
  <si>
    <t>ENGENHARIA DE CONTROLE E AUTOMAÇÃO  - 26/04/2021 23/12/2025</t>
  </si>
  <si>
    <t>ENGENHARIA ELÉTRICA  - 26/04/2021 23/12/2025</t>
  </si>
  <si>
    <t>SECRETARIADO EXECUTIVO  - 26/04/2021 23/12/2023</t>
  </si>
  <si>
    <t>TURISMO  - 26/04/2021 23/12/2023</t>
  </si>
  <si>
    <t>EDUCAÇÃO FÍSICA  - 26/04/2021 23/12/2024</t>
  </si>
  <si>
    <t>CONSTRUÇÃO DE EDIFÍCIOS  - 26/04/2021 15/06/2024</t>
  </si>
  <si>
    <t>CONTROLE DE OBRAS  - 26/04/2021 23/12/2023</t>
  </si>
  <si>
    <t>GEOPROCESSAMENTO  - 26/04/2021 23/12/2023</t>
  </si>
  <si>
    <t>REDES DE COMPUTADORES  - 26/04/2021 23/12/2023</t>
  </si>
  <si>
    <t>SISTEMAS PARA INTERNET  - 26/04/2021 23/12/2023</t>
  </si>
  <si>
    <t>CONSTRUÇÃO DE EDIFÍCIOS  - 30/08/2021 23/12/2024</t>
  </si>
  <si>
    <t>CONTROLE DE OBRAS  - 30/08/2021 23/12/2024</t>
  </si>
  <si>
    <t>GEOPROCESSAMENTO  - 30/08/2021 20/07/2024</t>
  </si>
  <si>
    <t>REDES DE COMPUTADORES  - 30/08/2021 20/07/2024</t>
  </si>
  <si>
    <t>SISTEMAS PARA INTERNET  - 30/08/2021 20/07/2024</t>
  </si>
  <si>
    <t>ENGENHARIA DE COMPUTAÇÃO  - 30/08/2021 25/07/2026</t>
  </si>
  <si>
    <t>ENGENHARIA DE CONTROLE E AUTOMAÇÃO  - 30/08/2021 25/07/2026</t>
  </si>
  <si>
    <t>ENGENHARIA ELÉTRICA  - 30/08/2021 25/07/2026</t>
  </si>
  <si>
    <t>SECRETARIADO EXECUTIVO  - 30/08/2021 20/07/2024</t>
  </si>
  <si>
    <t>TURISMO  - 30/08/2021 20/07/2024</t>
  </si>
  <si>
    <t>TÉCNICO EM AGRIMENSURA SUBSEQUENTE - 30/08/2021 15/07/2023</t>
  </si>
  <si>
    <t>TÉCNICO EM EDIFICAÇÕES SUBSEQUENTE - 30/08/2021 15/07/2023</t>
  </si>
  <si>
    <t>TÉCNICO EM ELETRÔNICA SUBSEQUENTE - 30/08/2021 15/07/2023</t>
  </si>
  <si>
    <t>TÉCNICO EM ELETROTÉCNICA SUBSEQUENTE - 30/08/2021 15/07/2023</t>
  </si>
  <si>
    <t>TÉCNICO EM AGRIMENSURA INTEGRADO - 31/01/2022 23/12/2025</t>
  </si>
  <si>
    <t>TÉCNICO EM EDIFICAÇÕES INTEGRADO - 31/01/2022 23/12/2025</t>
  </si>
  <si>
    <t>TÉCNICO EM ELETRÔNICA INTEGRADO - 31/01/2022 23/12/2024</t>
  </si>
  <si>
    <t>TÉCNICO EM ELETROTÉCNICA INTEGRADO - 31/01/2022 23/12/2024</t>
  </si>
  <si>
    <t>TÉCNICO EM EVENTOS INTEGRADO - 31/01/2022 23/12/2024</t>
  </si>
  <si>
    <t>TÉCNICO EM INFORMÁTICA INTEGRADO - 31/01/2022 23/12/2024</t>
  </si>
  <si>
    <t>TÉCNICO EM SECRETARIADO INTEGRADO - 31/01/2022 23/12/2024</t>
  </si>
  <si>
    <t>TÉCNICO EM AGRIMENSURA SUBSEQUENTE - 31/01/2022 23/12/2023</t>
  </si>
  <si>
    <t>TÉCNICO EM EDIFICAÇÕES SUBSEQUENTE - 31/01/2022 23/12/2023</t>
  </si>
  <si>
    <t>TÉCNICO EM ELETRÔNICA SUBSEQUENTE - 31/01/2022 23/12/2023</t>
  </si>
  <si>
    <t>TÉCNICO EM ELETROTÉCNICA SUBSEQUENTE - 31/01/2022 23/12/2023</t>
  </si>
  <si>
    <t>CONSTRUÇÃO DE EDIFÍCIOS  - 31/01/2022 26/08/2025</t>
  </si>
  <si>
    <t>CONTROLE DE OBRAS  - 31/01/2022 28/06/2025</t>
  </si>
  <si>
    <t>GEOPROCESSAMENTO  - 31/01/2022 23/12/2024</t>
  </si>
  <si>
    <t>REDES DE COMPUTADORES  - 31/01/2022 23/12/2024</t>
  </si>
  <si>
    <t>SISTEMAS PARA INTERNET  - 31/01/2022 23/12/2024</t>
  </si>
  <si>
    <t>ENGENHARIA DE COMPUTAÇÃO  - 31/01/2022 23/12/2026</t>
  </si>
  <si>
    <t>ENGENHARIA DE CONTROLE E AUTOMAÇÃO  - 31/01/2022 23/12/2026</t>
  </si>
  <si>
    <t>ENGENHARIA ELÉTRICA  - 31/01/2022 23/01/2026</t>
  </si>
  <si>
    <t>SECRETARIADO EXECUTIVO  - 31/01/2022 30/11/2025</t>
  </si>
  <si>
    <t>TURISMO  - 31/01/2022 30/11/2025</t>
  </si>
  <si>
    <t>EDUCAÇÃO FÍSICA  - 31/01/2022 23/12/2025</t>
  </si>
  <si>
    <t>MESTRADO PROFISSIONAL EM EDUCAÇÃO PROFISSIONAL  - 03/03/2022 01/03/2024</t>
  </si>
  <si>
    <t>MESTRADO</t>
  </si>
  <si>
    <t>Mestrado Acadêmico em Ensino</t>
  </si>
  <si>
    <t>MESTRADO ACADÊMICO EM ENSINO  - 08/03/2022 06/03/2024</t>
  </si>
  <si>
    <t>TÉCNICO EM AGRIMENSURA SUBSEQUENTE - 18/07/2022 15/06/2024</t>
  </si>
  <si>
    <t>TÉCNICO EM EDIFICAÇÕES SUBSEQUENTE - 18/07/2022 15/06/2024</t>
  </si>
  <si>
    <t>TÉCNICO EM ELETROTÉCNICA SUBSEQUENTE - 18/07/2022 15/06/2024</t>
  </si>
  <si>
    <t>TÉCNICO EM ELETRÔNICA SUBSEQUENTE - 18/07/2022 15/06/2024</t>
  </si>
  <si>
    <t>ENGENHARIA DE COMPUTAÇÃO  - 18/07/2022 18/06/2027</t>
  </si>
  <si>
    <t>ENGENHARIA DE CONTROLE E AUTOMAÇÃO  - 18/07/2022 18/06/2027</t>
  </si>
  <si>
    <t>ENGENHARIA ELÉTRICA  - 18/07/2022 18/06/2027</t>
  </si>
  <si>
    <t>SECRETARIADO EXECUTIVO  - 18/07/2022 17/05/2026</t>
  </si>
  <si>
    <t>TURISMO  - 18/07/2022 17/05/2026</t>
  </si>
  <si>
    <t>CONSTRUÇÃO DE EDIFÍCIOS  - 18/07/2022 23/12/2025</t>
  </si>
  <si>
    <t>CONTROLE DE OBRAS  - 18/07/2022 23/12/2025</t>
  </si>
  <si>
    <t>GEOPROCESSAMENTO  - 18/07/2022 14/06/2025</t>
  </si>
  <si>
    <t>REDES DE COMPUTADORES  - 18/07/2022 14/06/2025</t>
  </si>
  <si>
    <t>SISTEMAS PARA INTERNET  - 18/07/2022 14/06/2025</t>
  </si>
  <si>
    <t>Docência para a Educação Profissional Tecnológica</t>
  </si>
  <si>
    <t>DOCÊNCIA PARA A EDUCAÇÃO PROFISSIONAL TECNOLÓGICA  - 14/11/2022 17/05/2024</t>
  </si>
  <si>
    <t>Especialização em Educação Inclusiva Com Ênfase Na Educação de Surdos</t>
  </si>
  <si>
    <t>ESPECIALIZAÇÃO EM EDUCAÇÃO INCLUSIVA COM ÊNFASE NA EDUCAÇÃO DE SURDOS  - 14/11/2022 17/05/2024</t>
  </si>
  <si>
    <t>Especialização em Redes e Computação Distribuída</t>
  </si>
  <si>
    <t>ESPECIALIZAÇÃO EM REDES E COMPUTAÇÃO DISTRIBUÍDA  - 14/11/2022 17/05/2024</t>
  </si>
  <si>
    <t>DOCÊNCIA PARA A EDUCAÇÃO PROFISSIONAL TECNOLÓGICA  - 15/11/2022 17/05/2024</t>
  </si>
  <si>
    <t>DOCÊNCIA PARA A EDUCAÇÃO PROFISSIONAL TECNOLÓGICA  - 15/11/2022 16/05/2024</t>
  </si>
  <si>
    <t>DOCÊNCIA PARA A EDUCAÇÃO PROFISSIONAL TECNOLÓGICA  - 15/11/2022 20/05/2024</t>
  </si>
  <si>
    <t>DOCÊNCIA PARA A EDUCAÇÃO PROFISSIONAL TECNOLÓGICA  - 15/11/2022 15/05/2024</t>
  </si>
  <si>
    <t>DOCÊNCIA PARA A EDUCAÇÃO PROFISSIONAL TECNOLÓGICA  - 15/11/2022 21/05/2024</t>
  </si>
  <si>
    <t>ESPECIALIZAÇÃO EM EDUCAÇÃO INCLUSIVA COM ÊNFASE NA EDUCAÇÃO DE SURDOS  - 15/11/2022 17/05/2024</t>
  </si>
  <si>
    <t>ESPECIALIZAÇÃO EM EDUCAÇÃO INCLUSIVA COM ÊNFASE NA EDUCAÇÃO DE SURDOS  - 15/11/2022 16/05/2024</t>
  </si>
  <si>
    <t>ESPECIALIZAÇÃO EM REDES E COMPUTAÇÃO DISTRIBUÍDA  - 15/11/2022 17/05/2024</t>
  </si>
  <si>
    <t>DOCÊNCIA PARA A EDUCAÇÃO PROFISSIONAL TECNOLÓGICA  - 16/11/2022 17/05/2024</t>
  </si>
  <si>
    <t>ESPECIALIZAÇÃO EM EDUCAÇÃO INCLUSIVA COM ÊNFASE NA EDUCAÇÃO DE SURDOS  - 16/11/2022 17/05/2024</t>
  </si>
  <si>
    <t>ESPECIALIZAÇÃO EM REDES E COMPUTAÇÃO DISTRIBUÍDA  - 16/11/2022 17/05/2024</t>
  </si>
  <si>
    <t>DOCÊNCIA PARA A EDUCAÇÃO PROFISSIONAL TECNOLÓGICA  - 17/11/2022 17/05/2024</t>
  </si>
  <si>
    <t>ESPECIALIZAÇÃO EM EDUCAÇÃO INCLUSIVA COM ÊNFASE NA EDUCAÇÃO DE SURDOS  - 17/11/2022 17/05/2024</t>
  </si>
  <si>
    <t>ESPECIALIZAÇÃO EM REDES E COMPUTAÇÃO DISTRIBUÍDA  - 17/11/2022 17/05/2024</t>
  </si>
  <si>
    <t>DOCÊNCIA PARA A EDUCAÇÃO PROFISSIONAL TECNOLÓGICA  - 18/11/2022 17/05/2024</t>
  </si>
  <si>
    <t>ESPECIALIZAÇÃO EM EDUCAÇÃO INCLUSIVA COM ÊNFASE NA EDUCAÇÃO DE SURDOS  - 18/11/2022 17/05/2024</t>
  </si>
  <si>
    <t>ESPECIALIZAÇÃO EM REDES E COMPUTAÇÃO DISTRIBUÍDA  - 18/11/2022 17/05/2024</t>
  </si>
  <si>
    <t>TÉCNICO EM AGRIMENSURA INTEGRADO - 30/01/2023 23/12/2026</t>
  </si>
  <si>
    <t>TÉCNICO EM EDIFICAÇÕES INTEGRADO - 30/01/2023 23/12/2026</t>
  </si>
  <si>
    <t>TÉCNICO EM ELETRÔNICA INTEGRADO - 30/01/2023 23/12/2025</t>
  </si>
  <si>
    <t>TÉCNICO EM ELETROTÉCNICA INTEGRADO - 30/01/2023 23/12/2025</t>
  </si>
  <si>
    <t>TÉCNICO EM EVENTOS INTEGRADO - 30/01/2023 23/12/2025</t>
  </si>
  <si>
    <t>TÉCNICO EM INFORMÁTICA INTEGRADO - 30/01/2023 23/12/2025</t>
  </si>
  <si>
    <t>TÉCNICO EM SECRETARIADO INTEGRADO - 30/01/2023 23/12/2025</t>
  </si>
  <si>
    <t>TÉCNICO EM AGRIMENSURA SUBSEQUENTE - 30/01/2023 23/12/2024</t>
  </si>
  <si>
    <t>TÉCNICO EM EDIFICAÇÕES SUBSEQUENTE - 30/01/2023 23/12/2024</t>
  </si>
  <si>
    <t>TÉCNICO EM ELETROTÉCNICA SUBSEQUENTE - 30/01/2023 23/12/2024</t>
  </si>
  <si>
    <t>TÉCNICO EM ELETRÔNICA SUBSEQUENTE - 30/01/2023 23/12/2024</t>
  </si>
  <si>
    <t>ENGENHARIA DE COMPUTAÇÃO  - 30/01/2023 23/12/2027</t>
  </si>
  <si>
    <t>ENGENHARIA DE CONTROLE E AUTOMAÇÃO  - 30/01/2023 23/12/2027</t>
  </si>
  <si>
    <t>ENGENHARIA ELÉTRICA  - 30/01/2023 23/12/2027</t>
  </si>
  <si>
    <t>SECRETARIADO EXECUTIVO  - 30/01/2023 23/12/2025</t>
  </si>
  <si>
    <t>TURISMO  - 30/01/2023 23/12/2025</t>
  </si>
  <si>
    <t>EDUCAÇÃO FÍSICA  - 30/01/2023 23/12/2026</t>
  </si>
  <si>
    <t>CONTROLE DE OBRAS  - 30/01/2023 26/06/2026</t>
  </si>
  <si>
    <t>GEOPROCESSAMENTO  - 30/01/2023 23/12/2025</t>
  </si>
  <si>
    <t>REDES DE COMPUTADORES  - 30/01/2023 23/12/2025</t>
  </si>
  <si>
    <t>SISTEMAS PARA INTERNET  - 30/01/2023 23/12/2025</t>
  </si>
  <si>
    <t>MESTRADO ACADÊMICO EM ENSINO  - 13/03/2023 31/03/2025</t>
  </si>
  <si>
    <t>SISTEMAS PARA INTERNET  - 17/03/2023 23/12/2025</t>
  </si>
  <si>
    <t>SISTEMAS PARA INTERNET  - 20/03/2023 23/12/2025</t>
  </si>
  <si>
    <t>SISTEMAS PARA INTERNET  - 21/03/2023 23/12/2025</t>
  </si>
  <si>
    <t>SISTEMAS PARA INTERNET  - 22/03/2023 23/12/2025</t>
  </si>
  <si>
    <t>SISTEMAS PARA INTERNET  - 23/03/2023 23/12/2025</t>
  </si>
  <si>
    <t>SISTEMAS PARA INTERNET  - 24/03/2023 23/12/2025</t>
  </si>
  <si>
    <t>MESTRADO PROFISSIONAL EM EDUCAÇÃO PROFISSIONAL  - 30/03/2023 31/03/2025</t>
  </si>
  <si>
    <t>TÉCNICO EM INFRAESTRUTURA ESCOLAR SUBSEQUENTE - 01/04/2023 30/09/2024</t>
  </si>
  <si>
    <t>TÉCNICO EM ALIMENTAÇÃO ESCOLAR SUBSEQUENTE - 01/04/2023 30/09/2024</t>
  </si>
  <si>
    <t>Técnico em Multimeios Didáticos</t>
  </si>
  <si>
    <t>TÉCNICO EM MULTIMEIOS DIDÁTICOS SUBSEQUENTE - 01/04/2023 30/09/2024</t>
  </si>
  <si>
    <t>TÉCNICO EM SECRETARIA ESCOLAR SUBSEQUENTE - 01/04/2023 30/09/2024</t>
  </si>
  <si>
    <t>PEDAGOGIA  - 15/05/2023 19/05/2027</t>
  </si>
  <si>
    <t>TÉCNICO EM AGRIMENSURA SUBSEQUENTE - 24/07/2023 27/06/2025</t>
  </si>
  <si>
    <t>TÉCNICO EM EDIFICAÇÕES SUBSEQUENTE - 24/07/2023 27/06/2025</t>
  </si>
  <si>
    <t>TÉCNICO EM ELETROTÉCNICA SUBSEQUENTE - 24/07/2023 27/06/2025</t>
  </si>
  <si>
    <t>TÉCNICO EM ELETRÔNICA SUBSEQUENTE - 24/07/2023 27/06/2025</t>
  </si>
  <si>
    <t>Engenharia Civil</t>
  </si>
  <si>
    <t>ENGENHARIA CIVIL  - 24/07/2023 14/07/2028</t>
  </si>
  <si>
    <t>ENGENHARIA DE COMPUTAÇÃO  - 24/07/2023 14/07/2028</t>
  </si>
  <si>
    <t>ENGENHARIA DE CONTROLE E AUTOMAÇÃO  - 24/07/2023 14/07/2028</t>
  </si>
  <si>
    <t>ENGENHARIA ELÉTRICA  - 24/07/2023 14/07/2028</t>
  </si>
  <si>
    <t>SECRETARIADO EXECUTIVO  - 24/07/2023 17/07/2026</t>
  </si>
  <si>
    <t>TURISMO  - 24/07/2023 17/07/2026</t>
  </si>
  <si>
    <t>CONTROLE DE OBRAS  - 24/07/2023 23/12/2026</t>
  </si>
  <si>
    <t>GEOPROCESSAMENTO  - 24/07/2023 17/07/2026</t>
  </si>
  <si>
    <t>REDES DE COMPUTADORES  - 24/07/2023 17/07/2026</t>
  </si>
  <si>
    <t>SISTEMAS PARA INTERNET  - 24/07/2023 17/07/2026</t>
  </si>
  <si>
    <t>Especialização Lato Sensu em Engenharia Devops</t>
  </si>
  <si>
    <t>ESPECIALIZAÇÃO LATO SENSU EM ENGENHARIA DEVOPS  - 04/09/2023 25/04/2025</t>
  </si>
  <si>
    <t>TÉCNICO EM AGRIMENSURA INTEGRADO - 29/01/2024 23/12/2026</t>
  </si>
  <si>
    <t>TÉCNICO EM EDIFICAÇÕES INTEGRADO - 29/01/2024 23/12/2026</t>
  </si>
  <si>
    <t>TÉCNICO EM ELETRÔNICA INTEGRADO - 29/01/2024 23/12/2026</t>
  </si>
  <si>
    <t>TÉCNICO EM ELETROTÉCNICA INTEGRADO - 29/01/2024 23/12/2026</t>
  </si>
  <si>
    <t>TÉCNICO EM EVENTOS INTEGRADO - 29/01/2024 23/12/2026</t>
  </si>
  <si>
    <t>TÉCNICO EM INFORMÁTICA INTEGRADO - 29/01/2024 23/12/2026</t>
  </si>
  <si>
    <t>TÉCNICO EM SECRETARIADO INTEGRADO - 29/01/2024 23/12/2026</t>
  </si>
  <si>
    <t>TÉCNICO EM AGRIMENSURA SUBSEQUENTE - 29/01/2024 23/12/2025</t>
  </si>
  <si>
    <t>TÉCNICO EM EDIFICAÇÕES SUBSEQUENTE - 29/01/2024 23/12/2025</t>
  </si>
  <si>
    <t>TÉCNICO EM ELETRÔNICA SUBSEQUENTE - 29/01/2024 23/12/2025</t>
  </si>
  <si>
    <t>CONTROLE DE OBRAS  - 29/01/2024 25/06/2027</t>
  </si>
  <si>
    <t>GEOPROCESSAMENTO  - 29/01/2024 23/12/2026</t>
  </si>
  <si>
    <t>REDES DE COMPUTADORES  - 29/01/2024 23/12/2026</t>
  </si>
  <si>
    <t>SISTEMAS PARA INTERNET  - 29/01/2024 23/12/2026</t>
  </si>
  <si>
    <t>ENGENHARIA CIVIL  - 29/01/2024 22/12/2028</t>
  </si>
  <si>
    <t>ENGENHARIA DE COMPUTAÇÃO  - 29/01/2024 22/12/2028</t>
  </si>
  <si>
    <t>ENGENHARIA DE CONTROLE E AUTOMAÇÃO  - 29/01/2024 22/12/2028</t>
  </si>
  <si>
    <t>ENGENHARIA ELÉTRICA  - 29/01/2024 22/12/2028</t>
  </si>
  <si>
    <t>SECRETARIADO EXECUTIVO  - 29/01/2024 23/12/2026</t>
  </si>
  <si>
    <t>TURISMO  - 29/01/2024 23/12/2026</t>
  </si>
  <si>
    <t>EDUCAÇÃO FÍSICA  - 29/01/2024 23/12/2027</t>
  </si>
  <si>
    <t>QUALIFICAÇÃO PROFISSIONAL - GESTÃO E NEGÓCIOS  - 04/03/2024 01/07/2025</t>
  </si>
  <si>
    <t>MESTRADO ACADÊMICO EM ENSINO  - 08/03/2024 31/12/2025</t>
  </si>
  <si>
    <t>PEDAGOGIA  - 01/04/2024 30/04/2027</t>
  </si>
  <si>
    <t>SISTEMAS PARA INTERNET  - 01/04/2024 30/04/2026</t>
  </si>
  <si>
    <t>MESTRADO PROFISSIONAL EM EDUCAÇÃO PROFISSIONAL  - 11/04/2024 11/04/2026</t>
  </si>
  <si>
    <t>Técnico em Eletroeletrônica</t>
  </si>
  <si>
    <t>TÉCNICO EM ELETROELETRÔNICA INTEGRADO - 01/06/2024 31/12/2026</t>
  </si>
  <si>
    <t>TÉCNICO EM ELETRÔNICA SUBSEQUENTE - 24/09/2024 31/12/2026</t>
  </si>
  <si>
    <t>TÉCNICO EM ELETROTÉCNICA SUBSEQUENTE - 24/09/2024 31/12/2026</t>
  </si>
  <si>
    <t>TÉCNICO EM AGRIMENSURA SUBSEQUENTE - 24/09/2024 31/12/2026</t>
  </si>
  <si>
    <t>TÉCNICO EM EDIFICAÇÕES SUBSEQUENTE - 24/09/2024 31/12/2026</t>
  </si>
  <si>
    <t>ENGENHARIA CIVIL  - 24/09/2024 31/12/2029</t>
  </si>
  <si>
    <t>ENGENHARIA DE COMPUTAÇÃO  - 24/09/2024 31/12/2029</t>
  </si>
  <si>
    <t>ENGENHARIA DE CONTROLE E AUTOMAÇÃO  - 24/09/2024 31/12/2029</t>
  </si>
  <si>
    <t>ENGENHARIA ELÉTRICA  - 24/09/2024 31/12/2029</t>
  </si>
  <si>
    <t>SECRETARIADO EXECUTIVO  - 24/09/2024 31/12/2027</t>
  </si>
  <si>
    <t>TURISMO  - 24/09/2024 31/12/2027</t>
  </si>
  <si>
    <t>CONTROLE DE OBRAS  - 24/09/2024 31/12/2026</t>
  </si>
  <si>
    <t>REDES DE COMPUTADORES  - 24/09/2024 31/12/2026</t>
  </si>
  <si>
    <t>SISTEMAS PARA INTERNET  - 24/09/2024 31/12/2027</t>
  </si>
  <si>
    <t>EDUCAÇÃO FÍSICA  - 24/09/2024 31/12/2028</t>
  </si>
  <si>
    <t>ESPECIALIZAÇÃO EM EDUCAÇÃO INCLUSIVA COM ÊNFASE NA EDUCAÇÃO DE SURDOS  - 28/10/2024 28/10/2026</t>
  </si>
  <si>
    <t>ESPECIALIZAÇÃO EM REDES E COMPUTAÇÃO DISTRIBUÍDA  - 28/10/2024 28/10/2026</t>
  </si>
  <si>
    <t>QUÍMICA  - 16/07/2007 25/06/2010</t>
  </si>
  <si>
    <t>TÉCNICO EM ALIMENTOS SUBSEQUENTE - 07/02/2011 21/12/2012</t>
  </si>
  <si>
    <t>Gestão Ambiental</t>
  </si>
  <si>
    <t>GESTÃO AMBIENTAL  - 07/02/2011 20/12/2013</t>
  </si>
  <si>
    <t>TÉCNICO EM ALIMENTOS SUBSEQUENTE - 26/03/2012 20/12/2013</t>
  </si>
  <si>
    <t>QUÍMICA  - 15/10/2012 28/08/2015</t>
  </si>
  <si>
    <t>Engenharia de Alimentos</t>
  </si>
  <si>
    <t>ENGENHARIA DE ALIMENTOS  - 07/11/2012 25/08/2017</t>
  </si>
  <si>
    <t>ENGENHARIA DE ALIMENTOS  - 15/04/2013 31/12/2017</t>
  </si>
  <si>
    <t>GESTÃO AMBIENTAL  - 02/09/2013 29/07/2016</t>
  </si>
  <si>
    <t>ENGENHARIA DE ALIMENTOS  - 02/09/2013 27/07/2018</t>
  </si>
  <si>
    <t>QUÍMICA  - 02/12/2013 18/12/2015</t>
  </si>
  <si>
    <t>GESTÃO AMBIENTAL  - 17/02/2014 16/12/2016</t>
  </si>
  <si>
    <t>TÉCNICO EM ALIMENTOS SUBSEQUENTE - 17/02/2014 18/12/2015</t>
  </si>
  <si>
    <t>QUÍMICA  - 25/06/2014 23/06/2017</t>
  </si>
  <si>
    <t>TÉCNICO EM ALIMENTOS SUBSEQUENTE - 01/09/2014 20/07/2016</t>
  </si>
  <si>
    <t>GESTÃO AMBIENTAL  - 01/09/2014 20/07/2017</t>
  </si>
  <si>
    <t>ENGENHARIA DE ALIMENTOS  - 01/09/2014 22/07/2019</t>
  </si>
  <si>
    <t>GESTÃO AMBIENTAL  - 09/02/2015 18/12/2017</t>
  </si>
  <si>
    <t>QUÍMICA  - 03/08/2015 29/06/2018</t>
  </si>
  <si>
    <t>GESTÃO AMBIENTAL  - 26/10/2015 27/07/2018</t>
  </si>
  <si>
    <t>TÉCNICO EM ALIMENTOS SUBSEQUENTE - 26/10/2015 28/07/2017</t>
  </si>
  <si>
    <t>ENGENHARIA DE ALIMENTOS  - 04/04/2016 18/12/2020</t>
  </si>
  <si>
    <t>QUÍMICA  - 25/07/2016 28/06/2019</t>
  </si>
  <si>
    <t>TÉCNICO EM ALIMENTOS SUBSEQUENTE - 24/08/2016 27/07/2018</t>
  </si>
  <si>
    <t>ENGENHARIA DE ALIMENTOS  - 24/08/2016 30/07/2021</t>
  </si>
  <si>
    <t>GESTÃO AMBIENTAL  - 24/08/2016 26/07/2019</t>
  </si>
  <si>
    <t>Técnico em Química</t>
  </si>
  <si>
    <t>TÉCNICO EM QUÍMICA INTEGRADO - 24/08/2016 26/07/2019</t>
  </si>
  <si>
    <t>QUÍMICA  - 03/10/2016 28/06/2019</t>
  </si>
  <si>
    <t>ENGENHARIA DE ALIMENTOS  - 02/03/2017 17/12/2021</t>
  </si>
  <si>
    <t>GESTÃO AMBIENTAL  - 02/03/2017 20/12/2019</t>
  </si>
  <si>
    <t>TÉCNICO EM ALIMENTOS SUBSEQUENTE - 02/03/2017 21/12/2018</t>
  </si>
  <si>
    <t>QUÍMICA  - 02/03/2017 01/03/2021</t>
  </si>
  <si>
    <t>MATEMÁTICA  - 02/03/2017 01/03/2021</t>
  </si>
  <si>
    <t>ENGENHARIA DE ALIMENTOS  - 07/08/2017 18/07/2022</t>
  </si>
  <si>
    <t>GESTÃO AMBIENTAL  - 07/08/2017 30/07/2020</t>
  </si>
  <si>
    <t>TÉCNICO EM ALIMENTOS SUBSEQUENTE - 07/08/2017 17/07/2019</t>
  </si>
  <si>
    <t>TÉCNICO EM QUÍMICA SUBSEQUENTE - 07/08/2017 17/07/2019</t>
  </si>
  <si>
    <t>MATEMÁTICA  - 22/12/2017 21/12/2021</t>
  </si>
  <si>
    <t>QUÍMICA  - 22/12/2017 21/12/2021</t>
  </si>
  <si>
    <t>TÉCNICO EM ALIMENTOS SUBSEQUENTE - 05/02/2018 04/02/2020</t>
  </si>
  <si>
    <t>GESTÃO AMBIENTAL  - 05/02/2018 04/02/2021</t>
  </si>
  <si>
    <t>ENGENHARIA DE ALIMENTOS  - 05/02/2018 04/02/2023</t>
  </si>
  <si>
    <t>Técnico em Meio Ambiente</t>
  </si>
  <si>
    <t>TÉCNICO EM MEIO AMBIENTE INTEGRADO - 05/02/2018 20/12/2020</t>
  </si>
  <si>
    <t>TÉCNICO EM MEIO AMBIENTE INTEGRADO - 25/07/2018 24/07/2021</t>
  </si>
  <si>
    <t>TÉCNICO EM ALIMENTOS SUBSEQUENTE - 25/07/2018 24/07/2020</t>
  </si>
  <si>
    <t>GESTÃO AMBIENTAL  - 25/07/2018 24/07/2021</t>
  </si>
  <si>
    <t>ENGENHARIA DE ALIMENTOS  - 01/08/2018 01/08/2023</t>
  </si>
  <si>
    <t>MATEMÁTICA  - 25/10/2018 24/10/2022</t>
  </si>
  <si>
    <t>QUÍMICA  - 25/10/2018 24/10/2022</t>
  </si>
  <si>
    <t>GESTÃO AMBIENTAL  - 04/02/2019 03/02/2022</t>
  </si>
  <si>
    <t>ENGENHARIA DE ALIMENTOS  - 04/02/2019 03/02/2024</t>
  </si>
  <si>
    <t>TÉCNICO EM ALIMENTOS SUBSEQUENTE - 04/02/2019 03/02/2021</t>
  </si>
  <si>
    <t>TÉCNICO EM QUÍMICA SUBSEQUENTE - 04/02/2019 03/02/2021</t>
  </si>
  <si>
    <t>Mestrado Acadêmico em Ciência e Tecnologia de Alimentos</t>
  </si>
  <si>
    <t>MESTRADO ACADÊMICO EM CIÊNCIA E TECNOLOGIA DE ALIMENTOS  - 18/03/2019 18/12/2020</t>
  </si>
  <si>
    <t>ENGENHARIA DE ALIMENTOS  - 24/07/2019 30/06/2023</t>
  </si>
  <si>
    <t>TÉCNICO EM QUÍMICA INTEGRADO - 24/07/2019 30/06/2023</t>
  </si>
  <si>
    <t>TÉCNICO EM ALIMENTOS SUBSEQUENTE - 24/07/2019 25/06/2021</t>
  </si>
  <si>
    <t>TÉCNICO EM QUÍMICA SUBSEQUENTE - 24/07/2019 25/06/2021</t>
  </si>
  <si>
    <t>GESTÃO AMBIENTAL  - 24/07/2019 29/07/2022</t>
  </si>
  <si>
    <t>TÉCNICO EM ALIMENTOS SUBSEQUENTE - 03/02/2020 17/12/2021</t>
  </si>
  <si>
    <t>TÉCNICO EM QUÍMICA SUBSEQUENTE - 03/02/2020 17/12/2021</t>
  </si>
  <si>
    <t>TÉCNICO EM MEIO AMBIENTE INTEGRADO - 03/02/2020 23/12/2022</t>
  </si>
  <si>
    <t>TÉCNICO EM QUÍMICA INTEGRADO - 03/02/2020 23/12/2022</t>
  </si>
  <si>
    <t>GESTÃO AMBIENTAL  - 03/02/2020 24/02/2023</t>
  </si>
  <si>
    <t>ENGENHARIA DE ALIMENTOS  - 03/02/2020 13/12/2024</t>
  </si>
  <si>
    <t>MESTRADO ACADÊMICO EM CIÊNCIA E TECNOLOGIA DE ALIMENTOS  - 16/03/2020 17/12/2021</t>
  </si>
  <si>
    <t>MESTRADO ACADÊMICO EM CIÊNCIA E TECNOLOGIA DE ALIMENTOS  - 12/04/2021 16/12/2022</t>
  </si>
  <si>
    <t>TÉCNICO EM MEIO AMBIENTE INTEGRADO - 17/05/2021 15/12/2023</t>
  </si>
  <si>
    <t>TÉCNICO EM QUÍMICA INTEGRADO - 17/05/2021 15/12/2023</t>
  </si>
  <si>
    <t>ENGENHARIA DE ALIMENTOS  - 17/05/2021 19/12/2025</t>
  </si>
  <si>
    <t>GESTÃO AMBIENTAL  - 17/05/2021 15/12/2023</t>
  </si>
  <si>
    <t>TÉCNICO EM ALIMENTOS SUBSEQUENTE - 17/05/2021 17/05/2023</t>
  </si>
  <si>
    <t>TÉCNICO EM QUÍMICA SUBSEQUENTE - 17/05/2021 17/05/2023</t>
  </si>
  <si>
    <t>TÉCNICO EM ALIMENTOS SUBSEQUENTE - 25/10/2021 31/07/2023</t>
  </si>
  <si>
    <t>TÉCNICO EM MEIO AMBIENTE INTEGRADO - 25/10/2021 31/07/2024</t>
  </si>
  <si>
    <t>TÉCNICO EM QUÍMICA INTEGRADO - 25/10/2021 31/07/2024</t>
  </si>
  <si>
    <t>GESTÃO AMBIENTAL  - 25/10/2021 31/07/2023</t>
  </si>
  <si>
    <t>ENGENHARIA DE ALIMENTOS  - 25/10/2021 31/07/2026</t>
  </si>
  <si>
    <t>TÉCNICO EM MEIO AMBIENTE INTEGRADO - 25/04/2022 20/12/2024</t>
  </si>
  <si>
    <t>TÉCNICO EM QUÍMICA INTEGRADO - 25/04/2022 20/12/2024</t>
  </si>
  <si>
    <t>TÉCNICO EM ALIMENTOS SUBSEQUENTE - 25/04/2022 15/12/2023</t>
  </si>
  <si>
    <t>TÉCNICO EM QUÍMICA SUBSEQUENTE - 25/04/2022 15/12/2023</t>
  </si>
  <si>
    <t>GESTÃO AMBIENTAL  - 25/04/2022 20/12/2024</t>
  </si>
  <si>
    <t>ENGENHARIA DE ALIMENTOS  - 25/04/2022 18/12/2026</t>
  </si>
  <si>
    <t>MESTRADO ACADÊMICO EM CIÊNCIA E TECNOLOGIA DE ALIMENTOS  - 16/05/2022 22/12/2023</t>
  </si>
  <si>
    <t>Mestrado Profissional em Química Tecnológica e Ambiental</t>
  </si>
  <si>
    <t>MESTRADO PROFISSIONAL EM QUÍMICA TECNOLÓGICA E AMBIENTAL  - 01/08/2022 30/08/2024</t>
  </si>
  <si>
    <t>TÉCNICO EM ALIMENTOS SUBSEQUENTE - 22/09/2022 31/07/2024</t>
  </si>
  <si>
    <t>TÉCNICO EM MEIO AMBIENTE INTEGRADO - 22/09/2022 31/07/2025</t>
  </si>
  <si>
    <t>TÉCNICO EM QUÍMICA INTEGRADO - 22/09/2022 31/07/2025</t>
  </si>
  <si>
    <t>GESTÃO AMBIENTAL  - 22/09/2022 31/07/2025</t>
  </si>
  <si>
    <t>ENGENHARIA DE ALIMENTOS  - 22/09/2022 31/07/2027</t>
  </si>
  <si>
    <t>QUÍMICA  - 22/09/2022 31/12/2025</t>
  </si>
  <si>
    <t>GESTÃO AMBIENTAL  - 09/03/2023 30/07/2026</t>
  </si>
  <si>
    <t>ENGENHARIA DE ALIMENTOS  - 09/03/2023 31/12/2027</t>
  </si>
  <si>
    <t>QUÍMICA  - 09/03/2023 30/07/2026</t>
  </si>
  <si>
    <t>TÉCNICO EM MEIO AMBIENTE INTEGRADO - 09/03/2023 30/12/2025</t>
  </si>
  <si>
    <t>TÉCNICO EM QUÍMICA INTEGRADO - 09/03/2023 30/12/2025</t>
  </si>
  <si>
    <t>TÉCNICO EM ALIMENTOS SUBSEQUENTE - 09/03/2023 20/12/2024</t>
  </si>
  <si>
    <t>MESTRADO PROFISSIONAL EM QUÍMICA TECNOLÓGICA E AMBIENTAL  - 20/03/2023 20/03/2025</t>
  </si>
  <si>
    <t>MESTRADO ACADÊMICO EM CIÊNCIA E TECNOLOGIA DE ALIMENTOS  - 27/04/2023 27/04/2025</t>
  </si>
  <si>
    <t>MATEMÁTICA  - 05/06/2023 05/06/2027</t>
  </si>
  <si>
    <t>MATEMÁTICA  - 05/06/2023 05/07/2027</t>
  </si>
  <si>
    <t>QUÍMICA  - 05/06/2023 05/06/2027</t>
  </si>
  <si>
    <t>QUÍMICA  - 05/06/2023 05/07/2027</t>
  </si>
  <si>
    <t>GESTÃO AMBIENTAL  - 08/08/2023 20/12/2026</t>
  </si>
  <si>
    <t>ENGENHARIA DE ALIMENTOS  - 08/08/2023 31/07/2028</t>
  </si>
  <si>
    <t>QUÍMICA  - 08/08/2023 20/12/2026</t>
  </si>
  <si>
    <t>TÉCNICO EM QUÍMICA INTEGRADO - 08/08/2023 31/07/2026</t>
  </si>
  <si>
    <t>TÉCNICO EM MEIO AMBIENTE INTEGRADO - 08/08/2023 31/07/2026</t>
  </si>
  <si>
    <t>TÉCNICO EM QUÍMICA INTEGRADO - 05/02/2024 30/12/2026</t>
  </si>
  <si>
    <t>TÉCNICO EM MEIO AMBIENTE INTEGRADO - 05/02/2024 30/12/2026</t>
  </si>
  <si>
    <t>ENGENHARIA DE ALIMENTOS  - 05/02/2024 30/12/2028</t>
  </si>
  <si>
    <t>QUÍMICA  - 05/02/2024 30/06/2027</t>
  </si>
  <si>
    <t>GESTÃO AMBIENTAL  - 05/02/2024 30/06/2027</t>
  </si>
  <si>
    <t>MESTRADO ACADÊMICO EM CIÊNCIA E TECNOLOGIA DE ALIMENTOS  - 20/03/2024 20/03/2026</t>
  </si>
  <si>
    <t>MESTRADO PROFISSIONAL EM QUÍMICA TECNOLÓGICA E AMBIENTAL  - 20/03/2024 20/03/2026</t>
  </si>
  <si>
    <t>Qualificação Profissional - Produção Alimentícia</t>
  </si>
  <si>
    <t>QUALIFICAÇÃO PROFISSIONAL - PRODUÇÃO ALIMENTÍCIA  - 01/08/2024 28/02/2025</t>
  </si>
  <si>
    <t>Microempreendedor Individual (MEI)</t>
  </si>
  <si>
    <t>MICROEMPREENDEDOR INDIVIDUAL (MEI)  - 23/09/2024 27/09/2024</t>
  </si>
  <si>
    <t>TÉCNICO EM MEIO AMBIENTE INTEGRADO - 30/09/2024 30/09/2027</t>
  </si>
  <si>
    <t>TÉCNICO EM QUÍMICA INTEGRADO - 30/09/2024 30/09/2027</t>
  </si>
  <si>
    <t>ENGENHARIA DE ALIMENTOS  - 30/09/2024 30/09/2028</t>
  </si>
  <si>
    <t>QUÍMICA  - 30/09/2024 01/03/2028</t>
  </si>
  <si>
    <t>GESTÃO AMBIENTAL  - 30/09/2024 30/09/2027</t>
  </si>
  <si>
    <t>Confeiteiro</t>
  </si>
  <si>
    <t>CONFEITEIRO  - 30/09/2024 11/10/2024</t>
  </si>
  <si>
    <t>CIÊNCIAS BIOLÓGICAS  - 06/02/2017 23/12/2020</t>
  </si>
  <si>
    <t>CIÊNCIAS BIOLÓGICAS  - 05/02/2018 20/12/2021</t>
  </si>
  <si>
    <t>CIÊNCIAS BIOLÓGICAS  - 04/02/2019 23/12/2022</t>
  </si>
  <si>
    <t>TÉCNICO EM ADMINISTRAÇÃO INTEGRADO - 10/02/2020 23/12/2022</t>
  </si>
  <si>
    <t>CIÊNCIAS BIOLÓGICAS  - 10/02/2020 29/12/2023</t>
  </si>
  <si>
    <t>TÉCNICO EM ADMINISTRAÇÃO INTEGRADO - 12/04/2021 23/12/2023</t>
  </si>
  <si>
    <t>TÉCNICO EM AGRICULTURA INTEGRADO - 12/04/2021 23/12/2023</t>
  </si>
  <si>
    <t>CIÊNCIAS BIOLÓGICAS  - 01/05/2021 20/12/2024</t>
  </si>
  <si>
    <t>TÉCNICO EM ADMINISTRAÇÃO INTEGRADO - 31/01/2022 23/12/2024</t>
  </si>
  <si>
    <t>TÉCNICO EM AGRICULTURA INTEGRADO - 31/01/2022 23/12/2024</t>
  </si>
  <si>
    <t>CIÊNCIAS BIOLÓGICAS  - 31/01/2022 23/12/2025</t>
  </si>
  <si>
    <t>TÉCNICO EM ADMINISTRAÇÃO INTEGRADO - 30/01/2023 22/12/2025</t>
  </si>
  <si>
    <t>TÉCNICO EM AGRICULTURA INTEGRADO - 30/01/2023 22/12/2025</t>
  </si>
  <si>
    <t>TÉCNICO EM ADMINISTRAÇÃO CONCOMITANTE - 19/09/2023 20/12/2025</t>
  </si>
  <si>
    <t>TÉCNICO EM AGRICULTURA INTEGRADO - 05/02/2024 18/12/2026</t>
  </si>
  <si>
    <t>TÉCNICO EM ADMINISTRAÇÃO INTEGRADO - 05/02/2024 18/12/2026</t>
  </si>
  <si>
    <t>Agronegócio</t>
  </si>
  <si>
    <t>AGRONEGÓCIO  - 01/04/2024 31/07/2026</t>
  </si>
  <si>
    <t>TÉCNICO EM ADMINISTRAÇÃO CONCOMITANTE - 01/04/2024 21/12/2026</t>
  </si>
  <si>
    <t>ZOOTECNIA  - 05/02/2017 31/12/2021</t>
  </si>
  <si>
    <t>AGROINDÚSTRIA  - 05/02/2017 31/12/2019</t>
  </si>
  <si>
    <t>ZOOTECNIA  - 19/02/2018 31/12/2022</t>
  </si>
  <si>
    <t>Ciências da Natureza</t>
  </si>
  <si>
    <t>CIÊNCIAS DA NATUREZA  - 19/02/2018 31/12/2021</t>
  </si>
  <si>
    <t>AGROINDÚSTRIA  - 19/02/2018 31/12/2020</t>
  </si>
  <si>
    <t>CIÊNCIAS DA NATUREZA  - 04/02/2019 31/12/2022</t>
  </si>
  <si>
    <t>ZOOTECNIA  - 04/02/2019 31/12/2023</t>
  </si>
  <si>
    <t>AGROINDÚSTRIA  - 04/02/2019 31/12/2021</t>
  </si>
  <si>
    <t>CIÊNCIAS DA NATUREZA  - 03/02/2020 31/12/2023</t>
  </si>
  <si>
    <t>ZOOTECNIA  - 03/02/2020 31/12/2024</t>
  </si>
  <si>
    <t>AGROINDÚSTRIA  - 03/02/2020 31/12/2022</t>
  </si>
  <si>
    <t>TÉCNICO EM AGROPECUÁRIA INTEGRADO - 05/04/2021 31/12/2023</t>
  </si>
  <si>
    <t>AGROINDÚSTRIA  - 05/04/2021 31/12/2023</t>
  </si>
  <si>
    <t>ZOOTECNIA  - 05/04/2021 31/12/2025</t>
  </si>
  <si>
    <t>CIÊNCIAS DA NATUREZA  - 05/04/2021 31/12/2024</t>
  </si>
  <si>
    <t>TÉCNICO EM AGROPECUÁRIA INTEGRADO - 07/02/2022 31/12/2024</t>
  </si>
  <si>
    <t>TÉCNICO EM AGROPECUÁRIA CONCOMITANTE - 01/09/2023 31/12/2025</t>
  </si>
  <si>
    <t>Gestão Integrada de Segurança Pública</t>
  </si>
  <si>
    <t>GESTÃO INTEGRADA DE SEGURANÇA PÚBLICA  - 15/04/2024 15/04/2025</t>
  </si>
  <si>
    <t>CIÊNCIAS BIOLÓGICAS  - 08/02/2011 28/03/2014</t>
  </si>
  <si>
    <t>MATEMÁTICA  - 08/02/2011 28/11/2014</t>
  </si>
  <si>
    <t>CIÊNCIAS BIOLÓGICAS  - 26/03/2012 22/12/2015</t>
  </si>
  <si>
    <t>CIÊNCIAS BIOLÓGICAS  - 13/05/2013 22/12/2016</t>
  </si>
  <si>
    <t>CIÊNCIAS BIOLÓGICAS  - 22/04/2014 22/12/2017</t>
  </si>
  <si>
    <t>MATEMÁTICA  - 22/04/2014 22/12/2017</t>
  </si>
  <si>
    <t>MATEMÁTICA  - 30/03/2015 30/03/2019</t>
  </si>
  <si>
    <t>CIÊNCIAS BIOLÓGICAS  - 30/03/2015 30/03/2019</t>
  </si>
  <si>
    <t>CIÊNCIAS BIOLÓGICAS  - 23/05/2016 22/05/2020</t>
  </si>
  <si>
    <t>MATEMÁTICA  - 23/05/2016 22/05/2020</t>
  </si>
  <si>
    <t>ADMINISTRAÇÃO  - 23/05/2016 22/05/2020</t>
  </si>
  <si>
    <t>ADMINISTRAÇÃO  - 08/05/2017 08/05/2021</t>
  </si>
  <si>
    <t>CIÊNCIAS BIOLÓGICAS  - 08/05/2017 08/05/2021</t>
  </si>
  <si>
    <t>MATEMÁTICA  - 08/05/2017 08/05/2021</t>
  </si>
  <si>
    <t>ADMINISTRAÇÃO  - 16/04/2018 30/12/2021</t>
  </si>
  <si>
    <t>MATEMÁTICA  - 16/04/2018 30/12/2021</t>
  </si>
  <si>
    <t>CIÊNCIAS BIOLÓGICAS  - 16/04/2018 30/12/2021</t>
  </si>
  <si>
    <t>TÉCNICO EM AGROPECUÁRIA INTEGRADO - 04/02/2019 23/12/2021</t>
  </si>
  <si>
    <t>TÉCNICO EM MEIO AMBIENTE INTEGRADO - 04/02/2019 23/12/2021</t>
  </si>
  <si>
    <t>CIÊNCIAS BIOLÓGICAS  - 02/04/2019 29/04/2022</t>
  </si>
  <si>
    <t>MATEMÁTICA  - 03/04/2019 29/04/2022</t>
  </si>
  <si>
    <t>ADMINISTRAÇÃO  - 04/04/2019 30/04/2023</t>
  </si>
  <si>
    <t>TÉCNICO EM AGROPECUÁRIA INTEGRADO - 03/02/2020 23/12/2022</t>
  </si>
  <si>
    <t>ADMINISTRAÇÃO  - 20/02/2020 29/12/2023</t>
  </si>
  <si>
    <t>CIÊNCIAS BIOLÓGICAS  - 20/02/2020 29/12/2023</t>
  </si>
  <si>
    <t>MATEMÁTICA  - 20/02/2020 29/12/2023</t>
  </si>
  <si>
    <t>TÉCNICO EM AGROPECUÁRIA INTEGRADO - 15/03/2021 22/12/2023</t>
  </si>
  <si>
    <t>TÉCNICO EM COMÉRCIO INTEGRADO - 15/03/2021 22/12/2023</t>
  </si>
  <si>
    <t>TÉCNICO EM MEIO AMBIENTE INTEGRADO - 15/03/2021 22/12/2023</t>
  </si>
  <si>
    <t>CIÊNCIAS BIOLÓGICAS  - 15/03/2021 23/12/2024</t>
  </si>
  <si>
    <t>MATEMÁTICA  - 15/03/2021 23/12/2024</t>
  </si>
  <si>
    <t>ADMINISTRAÇÃO  - 15/03/2021 23/12/2024</t>
  </si>
  <si>
    <t>TÉCNICO EM COMÉRCIO INTEGRADO - 07/02/2022 31/12/2024</t>
  </si>
  <si>
    <t>TÉCNICO EM MEIO AMBIENTE INTEGRADO - 07/02/2022 31/12/2024</t>
  </si>
  <si>
    <t>ADMINISTRAÇÃO  - 07/02/2022 31/12/2025</t>
  </si>
  <si>
    <t>CIÊNCIAS BIOLÓGICAS  - 07/02/2022 31/12/2025</t>
  </si>
  <si>
    <t>MATEMÁTICA  - 07/02/2022 31/12/2025</t>
  </si>
  <si>
    <t>TÉCNICO EM AGROPECUÁRIA INTEGRADO - 06/02/2023 23/12/2025</t>
  </si>
  <si>
    <t>TÉCNICO EM COMÉRCIO INTEGRADO - 06/02/2023 23/12/2025</t>
  </si>
  <si>
    <t>TÉCNICO EM MEIO AMBIENTE INTEGRADO - 06/02/2023 23/12/2025</t>
  </si>
  <si>
    <t>ADMINISTRAÇÃO  - 06/02/2023 23/12/2026</t>
  </si>
  <si>
    <t>CIÊNCIAS BIOLÓGICAS  - 06/02/2023 23/12/2026</t>
  </si>
  <si>
    <t>MATEMÁTICA  - 06/02/2023 23/12/2026</t>
  </si>
  <si>
    <t>AGRONOMIA  - 06/02/2023 23/12/2027</t>
  </si>
  <si>
    <t>TÉCNICO EM MEIO AMBIENTE INTEGRADO - 05/02/2024 22/12/2026</t>
  </si>
  <si>
    <t>AGRONOMIA  - 05/02/2024 22/12/2028</t>
  </si>
  <si>
    <t>ADMINISTRAÇÃO  - 05/02/2024 23/12/2027</t>
  </si>
  <si>
    <t>MATEMÁTICA  - 05/02/2024 23/12/2027</t>
  </si>
  <si>
    <t>CIÊNCIAS BIOLÓGICAS  - 05/02/2024 23/12/2027</t>
  </si>
  <si>
    <t>MICROEMPREENDEDOR INDIVIDUAL (MEI) CONCOMITANTE - 24/05/2024 01/07/2024</t>
  </si>
  <si>
    <t>Operador de Processamento de Frutas e Hortaliças</t>
  </si>
  <si>
    <t>OPERADOR DE PROCESSAMENTO DE FRUTAS E HORTALIÇAS CONCOMITANTE - 02/09/2024 02/11/2024</t>
  </si>
  <si>
    <t>MICROEMPREENDEDOR INDIVIDUAL (MEI) CONCOMITANTE - 04/10/2024 09/11/2024</t>
  </si>
  <si>
    <t>MICROEMPREENDEDOR INDIVIDUAL (MEI) CONCOMITANTE - 22/11/2024 15/02/2025</t>
  </si>
  <si>
    <t>FÍSICA  - 13/02/2017 18/12/2020</t>
  </si>
  <si>
    <t>Eletrotécnica Industrial</t>
  </si>
  <si>
    <t>ELETROTÉCNICA INDUSTRIAL  - 05/02/2018 09/07/2021</t>
  </si>
  <si>
    <t>FÍSICA  - 05/02/2018 17/12/2021</t>
  </si>
  <si>
    <t>TÉCNICO EM CONTROLE AMBIENTAL INTEGRADO - 04/02/2019 17/12/2021</t>
  </si>
  <si>
    <t>REDES DE COMPUTADORES  - 04/02/2019 17/12/2021</t>
  </si>
  <si>
    <t>ELETROTÉCNICA INDUSTRIAL  - 04/02/2019 15/07/2022</t>
  </si>
  <si>
    <t>FÍSICA  - 04/02/2019 23/12/2022</t>
  </si>
  <si>
    <t>ADMINISTRAÇÃO  - 03/02/2020 22/12/2023</t>
  </si>
  <si>
    <t>TÉCNICO EM INFORMÁTICA INTEGRADO - 03/02/2020 16/12/2022</t>
  </si>
  <si>
    <t>TÉCNICO EM CONTROLE AMBIENTAL INTEGRADO - 03/02/2020 16/12/2022</t>
  </si>
  <si>
    <t>TÉCNICO EM ADMINISTRAÇÃO INTEGRADO - 03/02/2020 16/12/2022</t>
  </si>
  <si>
    <t>ELETROTÉCNICA INDUSTRIAL  - 03/02/2020 14/07/2023</t>
  </si>
  <si>
    <t>FÍSICA  - 03/02/2020 22/12/2023</t>
  </si>
  <si>
    <t>REDES DE COMPUTADORES  - 03/02/2020 16/12/2022</t>
  </si>
  <si>
    <t>TÉCNICO EM CONTROLE AMBIENTAL INTEGRADO - 05/04/2021 22/12/2023</t>
  </si>
  <si>
    <t>TÉCNICO EM ADMINISTRAÇÃO INTEGRADO - 05/04/2021 22/12/2023</t>
  </si>
  <si>
    <t>TÉCNICO EM INFORMÁTICA INTEGRADO - 05/04/2021 22/12/2023</t>
  </si>
  <si>
    <t>REDES DE COMPUTADORES  - 05/04/2021 22/12/2023</t>
  </si>
  <si>
    <t>ELETROTÉCNICA INDUSTRIAL  - 05/04/2021 12/07/2024</t>
  </si>
  <si>
    <t>ADMINISTRAÇÃO  - 05/04/2021 28/03/2025</t>
  </si>
  <si>
    <t>FÍSICA  - 05/04/2021 20/12/2024</t>
  </si>
  <si>
    <t>TÉCNICO EM QUÍMICA SUBSEQUENTE - 18/10/2021 20/10/2023</t>
  </si>
  <si>
    <t>TÉCNICO EM ADMINISTRAÇÃO INTEGRADO - 07/02/2022 20/12/2024</t>
  </si>
  <si>
    <t>TÉCNICO EM CONTROLE AMBIENTAL INTEGRADO - 07/02/2022 20/12/2024</t>
  </si>
  <si>
    <t>TÉCNICO EM INFORMÁTICA INTEGRADO - 07/02/2022 20/12/2024</t>
  </si>
  <si>
    <t>FÍSICA  - 07/02/2022 19/12/2025</t>
  </si>
  <si>
    <t>ELETROTÉCNICA INDUSTRIAL  - 07/02/2022 18/07/2025</t>
  </si>
  <si>
    <t>Sistemas de Informação</t>
  </si>
  <si>
    <t>SISTEMAS DE INFORMAÇÃO  - 01/03/2022 31/12/2025</t>
  </si>
  <si>
    <t>TÉCNICO EM INFORMÁTICA INTEGRADO - 06/02/2023 19/12/2025</t>
  </si>
  <si>
    <t>TÉCNICO EM CONTROLE AMBIENTAL INTEGRADO - 06/02/2023 19/12/2025</t>
  </si>
  <si>
    <t>TÉCNICO EM ADMINISTRAÇÃO INTEGRADO - 06/02/2023 19/12/2025</t>
  </si>
  <si>
    <t>SISTEMAS DE INFORMAÇÃO  - 06/02/2023 31/12/2026</t>
  </si>
  <si>
    <t>ADMINISTRAÇÃO  - 06/02/2023 31/12/2026</t>
  </si>
  <si>
    <t>ENGENHARIA ELÉTRICA  - 06/02/2023 31/12/2027</t>
  </si>
  <si>
    <t>TÉCNICO EM INFRAESTRUTURA ESCOLAR SUBSEQUENTE - 01/04/2023 31/10/2024</t>
  </si>
  <si>
    <t>TÉCNICO EM ALIMENTAÇÃO ESCOLAR SUBSEQUENTE - 01/04/2023 31/10/2024</t>
  </si>
  <si>
    <t>TÉCNICO EM SECRETARIA ESCOLAR SUBSEQUENTE - 01/04/2023 31/10/2024</t>
  </si>
  <si>
    <t>TÉCNICO EM ADMINISTRAÇÃO CONCOMITANTE - 01/09/2023 31/12/2025</t>
  </si>
  <si>
    <t>TÉCNICO EM CONTROLE AMBIENTAL INTEGRADO - 05/02/2024 18/12/2026</t>
  </si>
  <si>
    <t>ADMINISTRAÇÃO  - 05/02/2024 24/12/2027</t>
  </si>
  <si>
    <t>SISTEMAS DE INFORMAÇÃO  - 05/02/2024 24/12/2027</t>
  </si>
  <si>
    <t>ENGENHARIA ELÉTRICA  - 05/02/2024 22/12/2028</t>
  </si>
  <si>
    <t>TÉCNICO EM INFORMÁTICA CONCOMITANTE - 05/02/2024 18/12/2026</t>
  </si>
  <si>
    <t>Técnico em Automação Industrial</t>
  </si>
  <si>
    <t>TÉCNICO EM AUTOMAÇÃO INDUSTRIAL CONCOMITANTE - 07/02/2024 18/12/2026</t>
  </si>
  <si>
    <t>CIÊNCIAS BIOLÓGICAS  - 04/03/2024 24/12/2027</t>
  </si>
  <si>
    <t>QUALIFICAÇÃO PROFISSIONAL - PRODUÇÃO ALIMENTÍCIA  - 01/05/2024 31/07/2024</t>
  </si>
  <si>
    <t>QUALIFICAÇÃO PROFISSIONAL - GESTÃO E NEGÓCIOS  - 01/05/2024 30/06/2024</t>
  </si>
  <si>
    <t>QUALIFICAÇÃO PROFISSIONAL - GESTÃO E NEGÓCIOS CONCOMITANTE - 01/07/2024 30/09/2024</t>
  </si>
  <si>
    <t>QUALIFICAÇÃO PROFISSIONAL - PRODUÇÃO ALIMENTÍCIA CONCOMITANTE - 20/07/2024 20/10/2024</t>
  </si>
  <si>
    <t>QUALIFICAÇÃO PROFISSIONAL - GESTÃO E NEGÓCIOS  - 02/09/2024 31/10/2024</t>
  </si>
  <si>
    <t>Qualificação Profissional - Produção Cultural e Design</t>
  </si>
  <si>
    <t>PRODUCAO CULTURAL E DESIGN</t>
  </si>
  <si>
    <t>QUALIFICAÇÃO PROFISSIONAL - PRODUÇÃO CULTURAL E DESIGN  - 01/10/2024 30/11/2024</t>
  </si>
  <si>
    <t>ENGENHARIA DE CONTROLE E AUTOMAÇÃO  - 02/02/2015 20/12/2019</t>
  </si>
  <si>
    <t>ENGENHARIA DE CONTROLE E AUTOMAÇÃO  - 21/03/2016 20/12/2020</t>
  </si>
  <si>
    <t>Análise e Desenvolvimento de Sistemas</t>
  </si>
  <si>
    <t>ANÁLISE E DESENVOLVIMENTO DE SISTEMAS  - 23/04/2016 21/12/2018</t>
  </si>
  <si>
    <t>ENGENHARIA DE CONTROLE E AUTOMAÇÃO  - 03/04/2017 22/12/2021</t>
  </si>
  <si>
    <t>ANÁLISE E DESENVOLVIMENTO DE SISTEMAS  - 03/04/2017 22/12/2019</t>
  </si>
  <si>
    <t>QUÍMICA  - 03/04/2017 22/12/2020</t>
  </si>
  <si>
    <t>ENGENHARIA DE CONTROLE E AUTOMAÇÃO  - 20/03/2018 23/12/2022</t>
  </si>
  <si>
    <t>ANÁLISE E DESENVOLVIMENTO DE SISTEMAS  - 20/03/2018 23/12/2020</t>
  </si>
  <si>
    <t>TÉCNICO EM ELETROTÉCNICA SUBSEQUENTE - 20/03/2018 23/12/2019</t>
  </si>
  <si>
    <t>QUÍMICA  - 23/03/2018 23/12/2021</t>
  </si>
  <si>
    <t>TÉCNICO EM ELETROTÉCNICA INTEGRADO - 04/02/2019 23/12/2021</t>
  </si>
  <si>
    <t>ENGENHARIA DE CONTROLE E AUTOMAÇÃO  - 04/02/2019 22/12/2023</t>
  </si>
  <si>
    <t>ANÁLISE E DESENVOLVIMENTO DE SISTEMAS  - 04/02/2019 23/12/2021</t>
  </si>
  <si>
    <t>QUÍMICA  - 04/02/2019 22/12/2022</t>
  </si>
  <si>
    <t>ENGENHARIA DE CONTROLE E AUTOMAÇÃO  - 03/02/2020 20/12/2024</t>
  </si>
  <si>
    <t>ANÁLISE E DESENVOLVIMENTO DE SISTEMAS  - 03/02/2020 20/12/2022</t>
  </si>
  <si>
    <t>QUÍMICA  - 03/02/2020 20/12/2023</t>
  </si>
  <si>
    <t>Técnico em Desenvolvimento de Sistemas</t>
  </si>
  <si>
    <t>TÉCNICO EM DESENVOLVIMENTO DE SISTEMAS INTEGRADO - 03/02/2020 31/12/2022</t>
  </si>
  <si>
    <t>TÉCNICO EM ELETROTÉCNICA INTEGRADO - 03/02/2020 31/12/2022</t>
  </si>
  <si>
    <t>TÉCNICO EM ELETROTÉCNICA SUBSEQUENTE - 03/02/2020 31/12/2021</t>
  </si>
  <si>
    <t>Técnico em Eletromecânica</t>
  </si>
  <si>
    <t>TÉCNICO EM ELETROMECÂNICA INTEGRADO - 03/02/2021 23/12/2023</t>
  </si>
  <si>
    <t>TÉCNICO EM ELETROTÉCNICA INTEGRADO - 03/02/2021 23/12/2023</t>
  </si>
  <si>
    <t>Técnico em Logística</t>
  </si>
  <si>
    <t>TÉCNICO EM LOGÍSTICA INTEGRADO - 03/02/2021 23/12/2023</t>
  </si>
  <si>
    <t>Técnico em Manutenção de aeronáutica em célula</t>
  </si>
  <si>
    <t>TÉCNICO EM MANUTENÇÃO DE AERONÁUTICA EM CÉLULA SUBSEQUENTE - 01/03/2021 23/12/2022</t>
  </si>
  <si>
    <t>TÉCNICO EM DESENVOLVIMENTO DE SISTEMAS INTEGRADO - 03/03/2021 23/12/2023</t>
  </si>
  <si>
    <t>ENGENHARIA DE CONTROLE E AUTOMAÇÃO  - 03/03/2021 22/03/2025</t>
  </si>
  <si>
    <t>QUÍMICA  - 03/03/2021 23/03/2024</t>
  </si>
  <si>
    <t>ANÁLISE E DESENVOLVIMENTO DE SISTEMAS  - 03/03/2021 25/03/2023</t>
  </si>
  <si>
    <t>TÉCNICO EM DESENVOLVIMENTO DE SISTEMAS INTEGRADO - 01/02/2022 23/12/2024</t>
  </si>
  <si>
    <t>TÉCNICO EM ELETROTÉCNICA INTEGRADO - 01/02/2022 23/12/2024</t>
  </si>
  <si>
    <t>TÉCNICO EM ELETROMECÂNICA INTEGRADO - 01/02/2022 23/12/2024</t>
  </si>
  <si>
    <t>TÉCNICO EM LOGÍSTICA INTEGRADO - 01/02/2022 23/12/2024</t>
  </si>
  <si>
    <t>TÉCNICO EM MANUTENÇÃO DE AERONÁUTICA EM CÉLULA SUBSEQUENTE - 01/02/2022 23/12/2023</t>
  </si>
  <si>
    <t>QUÍMICA  - 01/02/2022 23/12/2025</t>
  </si>
  <si>
    <t>ANÁLISE E DESENVOLVIMENTO DE SISTEMAS  - 01/02/2022 23/12/2024</t>
  </si>
  <si>
    <t>ENGENHARIA DE CONTROLE E AUTOMAÇÃO  - 01/02/2022 23/12/2026</t>
  </si>
  <si>
    <t>TÉCNICO EM ELETROTÉCNICA SUBSEQUENTE - 01/02/2022 23/12/2023</t>
  </si>
  <si>
    <t>TÉCNICO EM ELETROMECÂNICA INTEGRADO - 01/02/2023 22/12/2025</t>
  </si>
  <si>
    <t>TÉCNICO EM DESENVOLVIMENTO DE SISTEMAS INTEGRADO - 01/02/2023 22/12/2025</t>
  </si>
  <si>
    <t>TÉCNICO EM ELETROTÉCNICA INTEGRADO - 01/02/2023 22/12/2025</t>
  </si>
  <si>
    <t>TÉCNICO EM LOGÍSTICA INTEGRADO - 01/02/2023 22/12/2025</t>
  </si>
  <si>
    <t>ANÁLISE E DESENVOLVIMENTO DE SISTEMAS  - 01/02/2023 22/12/2025</t>
  </si>
  <si>
    <t>ENGENHARIA DE CONTROLE E AUTOMAÇÃO  - 01/02/2023 20/12/2027</t>
  </si>
  <si>
    <t>QUÍMICA  - 01/02/2023 21/12/2026</t>
  </si>
  <si>
    <t>TÉCNICO EM MANUTENÇÃO DE AERONÁUTICA EM CÉLULA SUBSEQUENTE - 26/07/2023 04/07/2025</t>
  </si>
  <si>
    <t>TÉCNICO EM QUÍMICA CONCOMITANTE - 01/09/2023 31/12/2025</t>
  </si>
  <si>
    <t>TÉCNICO EM LOGÍSTICA INTEGRADO - 01/02/2024 23/12/2026</t>
  </si>
  <si>
    <t>TÉCNICO EM ELETROMECÂNICA INTEGRADO - 01/02/2024 23/12/2026</t>
  </si>
  <si>
    <t>TÉCNICO EM ELETROTÉCNICA INTEGRADO - 01/02/2024 23/12/2026</t>
  </si>
  <si>
    <t>TÉCNICO EM DESENVOLVIMENTO DE SISTEMAS INTEGRADO - 01/02/2024 23/12/2026</t>
  </si>
  <si>
    <t>TÉCNICO EM MANUTENÇÃO DE AERONÁUTICA EM CÉLULA SUBSEQUENTE - 01/02/2024 23/12/2025</t>
  </si>
  <si>
    <t>TÉCNICO EM ELETROTÉCNICA SUBSEQUENTE - 01/02/2024 23/12/2025</t>
  </si>
  <si>
    <t>ENGENHARIA DE CONTROLE E AUTOMAÇÃO  - 01/02/2024 23/12/2028</t>
  </si>
  <si>
    <t>ANÁLISE E DESENVOLVIMENTO DE SISTEMAS  - 01/02/2024 23/12/2026</t>
  </si>
  <si>
    <t>QUÍMICA  - 01/02/2024 23/12/2027</t>
  </si>
  <si>
    <t>TÉCNICO EM QUÍMICA CONCOMITANTE - 01/02/2024 20/12/2026</t>
  </si>
  <si>
    <t>TÉCNICO EM DESENVOLVIMENTO DE SISTEMAS CONCOMITANTE - 01/02/2024 20/12/2026</t>
  </si>
  <si>
    <t>TÉCNICO EM ADMINISTRAÇÃO CONCOMITANTE - 01/02/2024 20/12/2026</t>
  </si>
  <si>
    <t>ANÁLISE E DESENVOLVIMENTO DE SISTEMAS  - 11/04/2016 12/04/2019</t>
  </si>
  <si>
    <t>CIÊNCIAS DA NATUREZA  - 11/04/2016 09/04/2020</t>
  </si>
  <si>
    <t>TÉCNICO EM SECRETARIADO INTEGRADO - 17/04/2017 17/04/2020</t>
  </si>
  <si>
    <t>CIÊNCIAS DA NATUREZA  - 15/05/2017 13/05/2021</t>
  </si>
  <si>
    <t>ANÁLISE E DESENVOLVIMENTO DE SISTEMAS  - 15/05/2017 15/05/2020</t>
  </si>
  <si>
    <t>ANÁLISE E DESENVOLVIMENTO DE SISTEMAS  - 14/05/2018 14/05/2021</t>
  </si>
  <si>
    <t>CIÊNCIAS DA NATUREZA  - 14/05/2018 12/05/2022</t>
  </si>
  <si>
    <t>TÉCNICO EM ADMINISTRAÇÃO PROEJA - INTEGRADO - 04/06/2018 04/06/2021</t>
  </si>
  <si>
    <t>TÉCNICO EM QUÍMICA INTEGRADO - 07/03/2019 07/03/2022</t>
  </si>
  <si>
    <t>TÉCNICO EM SECRETARIADO INTEGRADO - 07/03/2019 07/03/2022</t>
  </si>
  <si>
    <t>TÉCNICO EM ADMINISTRAÇÃO PROEJA - INTEGRADO - 07/03/2019 07/03/2022</t>
  </si>
  <si>
    <t>TÉCNICO EM QUÍMICA SUBSEQUENTE - 07/03/2019 07/09/2020</t>
  </si>
  <si>
    <t>CIÊNCIAS DA NATUREZA  - 07/03/2019 05/03/2023</t>
  </si>
  <si>
    <t>ANÁLISE E DESENVOLVIMENTO DE SISTEMAS  - 07/03/2019 07/03/2022</t>
  </si>
  <si>
    <t>TÉCNICO EM SECRETARIADO INTEGRADO - 10/02/2020 10/02/2023</t>
  </si>
  <si>
    <t>TÉCNICO EM ALIMENTOS INTEGRADO - 10/02/2020 10/02/2023</t>
  </si>
  <si>
    <t>TÉCNICO EM QUÍMICA INTEGRADO - 10/02/2020 10/02/2023</t>
  </si>
  <si>
    <t>TÉCNICO EM INFORMÁTICA INTEGRADO - 10/02/2020 10/02/2023</t>
  </si>
  <si>
    <t>TÉCNICO EM ADMINISTRAÇÃO PROEJA - INTEGRADO - 10/02/2020 10/02/2023</t>
  </si>
  <si>
    <t>ANÁLISE E DESENVOLVIMENTO DE SISTEMAS  - 10/02/2020 10/02/2023</t>
  </si>
  <si>
    <t>CIÊNCIAS DA NATUREZA  - 10/02/2020 08/02/2024</t>
  </si>
  <si>
    <t>TÉCNICO EM ALIMENTOS INTEGRADO - 01/03/2021 01/03/2024</t>
  </si>
  <si>
    <t>TÉCNICO EM INFORMÁTICA INTEGRADO - 01/03/2021 01/03/2024</t>
  </si>
  <si>
    <t>TÉCNICO EM SECRETARIADO INTEGRADO - 01/03/2021 01/03/2024</t>
  </si>
  <si>
    <t>TÉCNICO EM QUÍMICA INTEGRADO - 01/03/2021 01/03/2024</t>
  </si>
  <si>
    <t>TÉCNICO EM ADMINISTRAÇÃO PROEJA - INTEGRADO - 01/03/2021 01/03/2024</t>
  </si>
  <si>
    <t>ANÁLISE E DESENVOLVIMENTO DE SISTEMAS  - 01/03/2021 01/03/2024</t>
  </si>
  <si>
    <t>CIÊNCIAS DA NATUREZA  - 01/03/2021 27/02/2025</t>
  </si>
  <si>
    <t>TÉCNICO EM QUÍMICA SUBSEQUENTE - 02/08/2021 02/02/2023</t>
  </si>
  <si>
    <t>TÉCNICO EM QUÍMICA INTEGRADO - 01/02/2022 31/03/2025</t>
  </si>
  <si>
    <t>TÉCNICO EM SECRETARIADO INTEGRADO - 10/02/2022 10/02/2025</t>
  </si>
  <si>
    <t>TÉCNICO EM ALIMENTOS INTEGRADO - 10/02/2022 10/03/2025</t>
  </si>
  <si>
    <t>TÉCNICO EM INFORMÁTICA INTEGRADO - 10/02/2022 10/02/2025</t>
  </si>
  <si>
    <t>ANÁLISE E DESENVOLVIMENTO DE SISTEMAS  - 10/02/2022 10/02/2025</t>
  </si>
  <si>
    <t>CIÊNCIAS DA NATUREZA  - 10/02/2022 08/02/2026</t>
  </si>
  <si>
    <t>TÉCNICO EM ALIMENTOS INTEGRADO - 09/02/2023 09/02/2026</t>
  </si>
  <si>
    <t>TÉCNICO EM INFORMÁTICA INTEGRADO - 09/02/2023 09/02/2026</t>
  </si>
  <si>
    <t>TÉCNICO EM SECRETARIADO INTEGRADO - 09/02/2023 09/02/2026</t>
  </si>
  <si>
    <t>TÉCNICO EM QUÍMICA INTEGRADO - 09/02/2023 09/02/2026</t>
  </si>
  <si>
    <t>CIÊNCIAS DA NATUREZA  - 09/02/2023 01/02/2027</t>
  </si>
  <si>
    <t>ANÁLISE E DESENVOLVIMENTO DE SISTEMAS  - 09/02/2023 09/02/2026</t>
  </si>
  <si>
    <t>TÉCNICO EM QUÍMICA SUBSEQUENTE - 09/02/2023 09/08/2024</t>
  </si>
  <si>
    <t>TÉCNICO EM MULTIMEIOS DIDÁTICOS SUBSEQUENTE - 03/04/2023 31/05/2024</t>
  </si>
  <si>
    <t>TÉCNICO EM INFORMÁTICA INTEGRADO - 08/02/2024 28/02/2027</t>
  </si>
  <si>
    <t>TÉCNICO EM QUÍMICA INTEGRADO - 08/02/2024 28/02/2027</t>
  </si>
  <si>
    <t>TÉCNICO EM ALIMENTOS INTEGRADO - 08/02/2024 28/03/2027</t>
  </si>
  <si>
    <t>ANÁLISE E DESENVOLVIMENTO DE SISTEMAS  - 08/02/2024 28/03/2027</t>
  </si>
  <si>
    <t>TÉCNICO EM ALIMENTOS INTEGRADO - 08/02/2024 29/03/2027</t>
  </si>
  <si>
    <t>TÉCNICO EM SECRETARIADO INTEGRADO - 08/02/2024 29/03/2027</t>
  </si>
  <si>
    <t>ESPECIALIZAÇÃO EM ENSINO DE CIÊNCIAS  - 02/08/2024 04/07/2025</t>
  </si>
  <si>
    <t>ZOOTECNIA  - 01/02/2010 27/06/2014</t>
  </si>
  <si>
    <t>AGRONOMIA  - 01/02/2010 15/12/2014</t>
  </si>
  <si>
    <t>AGRONOMIA  - 14/02/2011 11/12/2015</t>
  </si>
  <si>
    <t>AGRONOMIA  - 07/05/2012 23/12/2016</t>
  </si>
  <si>
    <t>AGRONOMIA  - 23/03/2015 20/12/2019</t>
  </si>
  <si>
    <t>ZOOTECNIA  - 23/03/2015 20/12/2019</t>
  </si>
  <si>
    <t>ZOOTECNIA  - 25/04/2016 21/12/2020</t>
  </si>
  <si>
    <t>AGRONOMIA  - 25/04/2016 19/12/2020</t>
  </si>
  <si>
    <t>ANÁLISE E DESENVOLVIMENTO DE SISTEMAS  - 25/04/2016 22/12/2018</t>
  </si>
  <si>
    <t>ZOOTECNIA  - 20/03/2017 17/12/2021</t>
  </si>
  <si>
    <t>CIÊNCIAS DA NATUREZA  - 20/03/2017 31/12/2020</t>
  </si>
  <si>
    <t>AGRONOMIA  - 20/03/2017 23/12/2021</t>
  </si>
  <si>
    <t>ANÁLISE E DESENVOLVIMENTO DE SISTEMAS  - 20/03/2017 20/12/2019</t>
  </si>
  <si>
    <t>ZOOTECNIA  - 05/03/2018 23/12/2022</t>
  </si>
  <si>
    <t>CIÊNCIAS DA NATUREZA  - 05/03/2018 31/12/2021</t>
  </si>
  <si>
    <t>TÉCNICO EM AGROPECUÁRIA INTEGRADO - 05/03/2018 18/12/2020</t>
  </si>
  <si>
    <t>ANÁLISE E DESENVOLVIMENTO DE SISTEMAS  - 05/03/2018 22/12/2020</t>
  </si>
  <si>
    <t>AGRONOMIA  - 05/03/2018 21/12/2022</t>
  </si>
  <si>
    <t>CIÊNCIAS DA NATUREZA  - 11/02/2019 31/12/2022</t>
  </si>
  <si>
    <t>AGRONOMIA  - 11/02/2019 20/12/2023</t>
  </si>
  <si>
    <t>ANÁLISE E DESENVOLVIMENTO DE SISTEMAS  - 11/02/2019 20/12/2021</t>
  </si>
  <si>
    <t>TÉCNICO EM AGROPECUÁRIA INTEGRADO - 11/02/2019 17/12/2021</t>
  </si>
  <si>
    <t>ZOOTECNIA  - 11/02/2019 22/12/2023</t>
  </si>
  <si>
    <t>ANÁLISE E DESENVOLVIMENTO DE SISTEMAS  - 03/02/2020 16/12/2022</t>
  </si>
  <si>
    <t>AGRONOMIA  - 03/02/2020 20/12/2024</t>
  </si>
  <si>
    <t>ZOOTECNIA  - 03/02/2020 20/12/2024</t>
  </si>
  <si>
    <t>TÉCNICO EM AGROPECUÁRIA INTEGRADO - 03/02/2020 20/12/2022</t>
  </si>
  <si>
    <t>TÉCNICO EM MEIO AMBIENTE INTEGRADO - 29/03/2021 31/12/2023</t>
  </si>
  <si>
    <t>CIÊNCIAS DA NATUREZA  - 29/03/2021 31/12/2024</t>
  </si>
  <si>
    <t>ANÁLISE E DESENVOLVIMENTO DE SISTEMAS  - 29/03/2021 15/12/2023</t>
  </si>
  <si>
    <t>AGRONOMIA  - 29/03/2021 10/07/2025</t>
  </si>
  <si>
    <t>AGRONOMIA  - 29/03/2021 15/12/2025</t>
  </si>
  <si>
    <t>ZOOTECNIA  - 29/03/2021 19/12/2025</t>
  </si>
  <si>
    <t>TÉCNICO EM AGROPECUÁRIA INTEGRADO - 29/03/2021 22/12/2023</t>
  </si>
  <si>
    <t>ANÁLISE E DESENVOLVIMENTO DE SISTEMAS  - 07/02/2022 13/12/2024</t>
  </si>
  <si>
    <t>AGRONOMIA  - 07/02/2022 18/07/2026</t>
  </si>
  <si>
    <t>AGRONOMIA  - 07/02/2022 19/12/2026</t>
  </si>
  <si>
    <t>ZOOTECNIA  - 07/02/2022 31/07/2026</t>
  </si>
  <si>
    <t>TÉCNICO EM AGROPECUÁRIA INTEGRADO - 07/02/2022 29/12/2024</t>
  </si>
  <si>
    <t>CIÊNCIAS DA NATUREZA  - 07/02/2022 31/12/2025</t>
  </si>
  <si>
    <t>Técnico em Brinquedoteca</t>
  </si>
  <si>
    <t>TÉCNICO EM BRINQUEDOTECA SUBSEQUENTE - 11/02/2022 31/07/2023</t>
  </si>
  <si>
    <t>TÉCNICO EM AGROPECUÁRIA INTEGRADO - 30/01/2023 29/12/2025</t>
  </si>
  <si>
    <t>ZOOTECNIA  - 30/01/2023 29/12/2027</t>
  </si>
  <si>
    <t>CIÊNCIAS DA NATUREZA  - 30/01/2023 31/12/2026</t>
  </si>
  <si>
    <t>TÉCNICO EM MEIO AMBIENTE INTEGRADO - 30/01/2023 31/12/2025</t>
  </si>
  <si>
    <t>AGRONOMIA  - 30/01/2023 30/07/2027</t>
  </si>
  <si>
    <t>AGRONOMIA  - 30/01/2023 29/12/2027</t>
  </si>
  <si>
    <t>ANÁLISE E DESENVOLVIMENTO DE SISTEMAS  - 30/01/2023 29/12/2025</t>
  </si>
  <si>
    <t>TÉCNICO EM BRINQUEDOTECA SUBSEQUENTE - 03/02/2023 30/06/2024</t>
  </si>
  <si>
    <t>TÉCNICO EM INFORMÁTICA INTEGRADO - 08/02/2023 26/12/2025</t>
  </si>
  <si>
    <t>TÉCNICO EM AGROPECUÁRIA CONCOMITANTE - 27/07/2023 31/12/2025</t>
  </si>
  <si>
    <t>TÉCNICO EM BRINQUEDOTECA CONCOMITANTE - 01/12/2023 31/12/2025</t>
  </si>
  <si>
    <t>TÉCNICO EM MEIO AMBIENTE CONCOMITANTE - 31/12/2023 31/12/2025</t>
  </si>
  <si>
    <t>AGRONOMIA  - 01/02/2024 31/07/2028</t>
  </si>
  <si>
    <t>ANÁLISE E DESENVOLVIMENTO DE SISTEMAS  - 01/02/2024 31/12/2026</t>
  </si>
  <si>
    <t>TÉCNICO EM INFORMÁTICA INTEGRADO - 01/02/2024 31/12/2026</t>
  </si>
  <si>
    <t>TÉCNICO EM ZOOTECNIA SUBSEQUENTE - 01/02/2024 29/12/2024</t>
  </si>
  <si>
    <t>TÉCNICO EM MEIO AMBIENTE INTEGRADO - 01/02/2024 31/12/2026</t>
  </si>
  <si>
    <t>CIÊNCIAS DA NATUREZA  - 01/02/2024 31/12/2027</t>
  </si>
  <si>
    <t>TÉCNICO EM BRINQUEDOTECA SUBSEQUENTE - 01/02/2024 30/06/2025</t>
  </si>
  <si>
    <t>TÉCNICO EM AGROPECUÁRIA INTEGRADO - 02/02/2024 29/12/2026</t>
  </si>
  <si>
    <t>ZOOTECNIA  - 02/02/2024 29/12/2028</t>
  </si>
  <si>
    <t>TÉCNICO EM MEIO AMBIENTE CONCOMITANTE - 05/02/2024 31/12/2026</t>
  </si>
  <si>
    <t>Operador de Máquinas e Implementos Agrícolas</t>
  </si>
  <si>
    <t>OPERADOR DE MÁQUINAS E IMPLEMENTOS AGRÍCOLAS  - 13/05/2024 13/07/2024</t>
  </si>
  <si>
    <t>TÉCNICO EM ZOOTECNIA SUBSEQUENTE - 18/09/2024 30/09/2025</t>
  </si>
  <si>
    <t>TÉCNICO EM ELETROMECÂNICA INTEGRADO - 05/02/2018 20/12/2020</t>
  </si>
  <si>
    <t>TÉCNICO EM AUTOMAÇÃO INDUSTRIAL INTEGRADO - 04/02/2019 23/12/2021</t>
  </si>
  <si>
    <t>TÉCNICO EM ELETROMECÂNICA INTEGRADO - 04/02/2019 23/12/2021</t>
  </si>
  <si>
    <t>TÉCNICO EM AUTOMAÇÃO INDUSTRIAL INTEGRADO - 03/02/2020 31/12/2022</t>
  </si>
  <si>
    <t>TÉCNICO EM ELETROMECÂNICA INTEGRADO - 03/02/2020 31/12/2022</t>
  </si>
  <si>
    <t>TÉCNICO EM ADMINISTRAÇÃO SUBSEQUENTE - 29/03/2021 29/07/2022</t>
  </si>
  <si>
    <t>TÉCNICO EM ELETROMECÂNICA SUBSEQUENTE - 29/03/2021 29/07/2022</t>
  </si>
  <si>
    <t>TÉCNICO EM ELETROMECÂNICA INTEGRADO - 29/03/2021 29/12/2023</t>
  </si>
  <si>
    <t>TÉCNICO EM AUTOMAÇÃO INDUSTRIAL INTEGRADO - 29/03/2021 29/12/2023</t>
  </si>
  <si>
    <t>TÉCNICO EM ADMINISTRAÇÃO SUBSEQUENTE - 11/08/2021 31/12/2022</t>
  </si>
  <si>
    <t>TÉCNICO EM AUTOMAÇÃO INDUSTRIAL INTEGRADO - 01/02/2022 24/12/2024</t>
  </si>
  <si>
    <t>TÉCNICO EM ELETROMECÂNICA INTEGRADO - 01/02/2022 24/12/2024</t>
  </si>
  <si>
    <t>TÉCNICO EM ADMINISTRAÇÃO SUBSEQUENTE - 01/02/2022 29/07/2023</t>
  </si>
  <si>
    <t>TÉCNICO EM ELETROMECÂNICA SUBSEQUENTE - 01/02/2022 30/07/2023</t>
  </si>
  <si>
    <t>Especialização em Gestão Estratégica Aplicada À Segurança Pública</t>
  </si>
  <si>
    <t>ESPECIALIZAÇÃO EM GESTÃO ESTRATÉGICA APLICADA À SEGURANÇA PÚBLICA  - 15/03/2022 15/03/2023</t>
  </si>
  <si>
    <t>TÉCNICO EM ADMINISTRAÇÃO SUBSEQUENTE - 25/07/2022 25/01/2024</t>
  </si>
  <si>
    <t>AGENTE DE PROJETOS SOCIAIS CONCOMITANTE - 16/08/2022 15/12/2022</t>
  </si>
  <si>
    <t>TÉCNICO EM AUTOMAÇÃO INDUSTRIAL INTEGRADO - 02/02/2023 24/12/2025</t>
  </si>
  <si>
    <t>TÉCNICO EM ELETROMECÂNICA INTEGRADO - 02/02/2023 24/12/2025</t>
  </si>
  <si>
    <t>TÉCNICO EM ADMINISTRAÇÃO SUBSEQUENTE - 02/02/2023 30/07/2024</t>
  </si>
  <si>
    <t>PROGRAMA EJA INTEGRADA - EPT  (SEB/MEC)</t>
  </si>
  <si>
    <t>Auxiliar Pedagógico</t>
  </si>
  <si>
    <t>PROEJA - CONCOMITANTE</t>
  </si>
  <si>
    <t>AUXILIAR PEDAGÓGICO PROEJA - CONCOMITANTE - 10/04/2023 15/06/2023</t>
  </si>
  <si>
    <t>TÉCNICO EM ADMINISTRAÇÃO SUBSEQUENTE - 17/07/2023 31/12/2024</t>
  </si>
  <si>
    <t>AUXILIAR PEDAGÓGICO PROEJA - CONCOMITANTE - 01/10/2023 31/01/2024</t>
  </si>
  <si>
    <t>TÉCNICO EM ELETROMECÂNICA INTEGRADO - 01/02/2024 31/12/2026</t>
  </si>
  <si>
    <t>TÉCNICO EM AUTOMAÇÃO INDUSTRIAL INTEGRADO - 01/02/2024 31/12/2026</t>
  </si>
  <si>
    <t>Técnico em Agronegócio</t>
  </si>
  <si>
    <t>TÉCNICO EM AGRONEGÓCIO INTEGRADO - 01/02/2024 31/12/2026</t>
  </si>
  <si>
    <t>Gestão de Incencios Florestais</t>
  </si>
  <si>
    <t>GESTÃO DE INCENCIOS FLORESTAIS  - 26/02/2024 31/03/2025</t>
  </si>
  <si>
    <t>AUXILIAR PEDAGÓGICO PROEJA - CONCOMITANTE - 05/08/2024 06/12/2024</t>
  </si>
  <si>
    <t>QUALIFICAÇÃO PROFISSIONAL - GESTÃO E NEGÓCIOS  - 08/10/2024 28/02/2025</t>
  </si>
  <si>
    <t>GESTÃO AMBIENTAL  - 02/02/2015 22/12/2017</t>
  </si>
  <si>
    <t>Engenharia Agronômica</t>
  </si>
  <si>
    <t>ENGENHARIA AGRONÔMICA  - 02/02/2015 20/12/2019</t>
  </si>
  <si>
    <t>Produção de Grãos</t>
  </si>
  <si>
    <t>PRODUÇÃO DE GRÃOS  - 03/08/2015 02/07/2018</t>
  </si>
  <si>
    <t>TÉCNICO EM AGROPECUÁRIA INTEGRADO - 21/03/2016 21/12/2018</t>
  </si>
  <si>
    <t>PRODUÇÃO DE GRÃOS  - 21/03/2016 21/12/2018</t>
  </si>
  <si>
    <t>ENGENHARIA AGRONÔMICA  - 21/03/2016 20/12/2020</t>
  </si>
  <si>
    <t>ENGENHARIA AGRONÔMICA  - 06/02/2017 23/12/2021</t>
  </si>
  <si>
    <t>PRODUÇÃO DE GRÃOS  - 06/02/2017 23/12/2019</t>
  </si>
  <si>
    <t>TÉCNICO EM AGROPECUÁRIA INTEGRADO - 05/02/2018 23/12/2020</t>
  </si>
  <si>
    <t>PRODUÇÃO DE GRÃOS  - 05/02/2018 23/12/2020</t>
  </si>
  <si>
    <t>ENGENHARIA AGRONÔMICA  - 05/02/2018 23/12/2022</t>
  </si>
  <si>
    <t>TÉCNICO EM ALIMENTOS INTEGRADO - 04/02/2019 20/12/2021</t>
  </si>
  <si>
    <t>ENGENHARIA AGRONÔMICA  - 04/02/2019 20/12/2023</t>
  </si>
  <si>
    <t>PRODUÇÃO DE GRÃOS  - 04/02/2019 20/12/2021</t>
  </si>
  <si>
    <t>GESTÃO AMBIENTAL  - 04/02/2019 20/12/2021</t>
  </si>
  <si>
    <t>TÉCNICO EM ALIMENTOS INTEGRADO - 03/02/2020 20/12/2022</t>
  </si>
  <si>
    <t>ENGENHARIA AGRONÔMICA  - 03/02/2020 20/12/2024</t>
  </si>
  <si>
    <t>PRODUÇÃO DE GRÃOS  - 03/02/2020 20/12/2022</t>
  </si>
  <si>
    <t>GESTÃO AMBIENTAL  - 03/02/2020 20/12/2022</t>
  </si>
  <si>
    <t>TÉCNICO EM AGROPECUÁRIA INTEGRADO - 22/03/2021 20/12/2023</t>
  </si>
  <si>
    <t>TÉCNICO EM ALIMENTOS INTEGRADO - 22/03/2021 20/12/2023</t>
  </si>
  <si>
    <t>ENGENHARIA AGRONÔMICA  - 22/03/2021 20/12/2025</t>
  </si>
  <si>
    <t>GESTÃO AMBIENTAL  - 22/03/2021 20/12/2023</t>
  </si>
  <si>
    <t>PRODUÇÃO DE GRÃOS  - 22/03/2021 20/12/2023</t>
  </si>
  <si>
    <t>TÉCNICO EM AGROPECUÁRIA INTEGRADO - 01/02/2022 16/12/2024</t>
  </si>
  <si>
    <t>TÉCNICO EM ALIMENTOS INTEGRADO - 01/02/2022 16/12/2024</t>
  </si>
  <si>
    <t>GESTÃO AMBIENTAL  - 01/02/2022 16/12/2024</t>
  </si>
  <si>
    <t>PRODUÇÃO DE GRÃOS  - 01/02/2022 16/12/2024</t>
  </si>
  <si>
    <t>ENGENHARIA AGRONÔMICA  - 01/02/2022 16/12/2026</t>
  </si>
  <si>
    <t>Língua Brasileira de Sinais (Libras) ­ Básico</t>
  </si>
  <si>
    <t>LÍNGUA BRASILEIRA DE SINAIS (LIBRAS) ­ BÁSICO SUBSEQUENTE - 30/09/2022 29/09/2023</t>
  </si>
  <si>
    <t>TÉCNICO EM AGROPECUÁRIA INTEGRADO - 30/01/2023 22/12/2025</t>
  </si>
  <si>
    <t>TÉCNICO EM ALIMENTOS INTEGRADO - 30/01/2023 22/12/2025</t>
  </si>
  <si>
    <t>GESTÃO AMBIENTAL  - 30/01/2023 22/12/2025</t>
  </si>
  <si>
    <t>PRODUÇÃO DE GRÃOS  - 30/01/2023 22/12/2025</t>
  </si>
  <si>
    <t>ENGENHARIA AGRONÔMICA  - 30/01/2023 22/12/2027</t>
  </si>
  <si>
    <t>Docência No Ensino Superior</t>
  </si>
  <si>
    <t>DOCÊNCIA NO ENSINO SUPERIOR  - 17/03/2023 20/09/2024</t>
  </si>
  <si>
    <t>Educação Ambiental</t>
  </si>
  <si>
    <t>EDUCAÇÃO AMBIENTAL  - 17/03/2023 20/09/2024</t>
  </si>
  <si>
    <t>TÉCNICO EM AGROPECUÁRIA SUBSEQUENTE - 02/06/2023 31/05/2025</t>
  </si>
  <si>
    <t>Qualificação Profissional - Desenvolvimento Educacional e Social</t>
  </si>
  <si>
    <t>QUALIFICAÇÃO PROFISSIONAL - DESENVOLVIMENTO EDUCACIONAL E SOCIAL  - 03/02/2024 19/04/2024</t>
  </si>
  <si>
    <t>TÉCNICO EM ALIMENTOS INTEGRADO - 05/02/2024 18/12/2026</t>
  </si>
  <si>
    <t>ENGENHARIA AGRONÔMICA  - 05/02/2024 15/12/2028</t>
  </si>
  <si>
    <t>GESTÃO AMBIENTAL  - 05/02/2024 18/12/2026</t>
  </si>
  <si>
    <t>PRODUÇÃO DE GRÃOS  - 05/02/2024 18/12/2026</t>
  </si>
  <si>
    <t>QUALIFICAÇÃO PROFISSIONAL - PRODUÇÃO CULTURAL E DESIGN  - 15/08/2024 01/10/2024</t>
  </si>
  <si>
    <t>GESTÃO DE RECURSOS HUMANOS  - 04/02/2019 09/07/2021</t>
  </si>
  <si>
    <t>GESTÃO DE RECURSOS HUMANOS  - 04/02/2019 16/07/2021</t>
  </si>
  <si>
    <t>GESTÃO DE RECURSOS HUMANOS  - 03/02/2020 15/07/2022</t>
  </si>
  <si>
    <t>GESTÃO DE RECURSOS HUMANOS  - 10/02/2020 15/07/2022</t>
  </si>
  <si>
    <t>TÉCNICO EM MANUTENÇÃO E SUPORTE EM INFORMÁTICA INTEGRADO - 15/03/2021 22/12/2023</t>
  </si>
  <si>
    <t>Técnico em Recursos Humanos</t>
  </si>
  <si>
    <t>TÉCNICO EM RECURSOS HUMANOS INTEGRADO - 15/03/2021 22/12/2023</t>
  </si>
  <si>
    <t>GESTÃO DE RECURSOS HUMANOS  - 15/03/2021 21/07/2023</t>
  </si>
  <si>
    <t>GESTÃO DE RECURSOS HUMANOS  - 22/07/2021 22/12/2023</t>
  </si>
  <si>
    <t>TÉCNICO EM MANUTENÇÃO E SUPORTE EM INFORMÁTICA INTEGRADO - 07/02/2022 20/12/2024</t>
  </si>
  <si>
    <t>TÉCNICO EM RECURSOS HUMANOS INTEGRADO - 07/02/2022 20/12/2024</t>
  </si>
  <si>
    <t>GESTÃO DE RECURSOS HUMANOS  - 07/02/2022 12/07/2024</t>
  </si>
  <si>
    <t>GESTÃO DE RECURSOS HUMANOS  - 25/07/2022 20/12/2024</t>
  </si>
  <si>
    <t>TÉCNICO EM MANUTENÇÃO E SUPORTE EM INFORMÁTICA INTEGRADO - 06/02/2023 23/12/2025</t>
  </si>
  <si>
    <t>TÉCNICO EM RECURSOS HUMANOS INTEGRADO - 06/02/2023 23/12/2025</t>
  </si>
  <si>
    <t>GESTÃO DE RECURSOS HUMANOS  - 06/02/2023 11/07/2025</t>
  </si>
  <si>
    <t>TÉCNICO EM RECURSOS HUMANOS CONCOMITANTE - 18/07/2023 24/12/2025</t>
  </si>
  <si>
    <t>TÉCNICO EM MANUTENÇÃO E SUPORTE EM INFORMÁTICA CONCOMITANTE - 18/07/2023 24/12/2025</t>
  </si>
  <si>
    <t>TÉCNICO EM RECURSOS HUMANOS CONCOMITANTE - 18/07/2023 23/12/2025</t>
  </si>
  <si>
    <t>TÉCNICO EM MANUTENÇÃO E SUPORTE EM INFORMÁTICA INTEGRADO - 05/02/2024 22/12/2026</t>
  </si>
  <si>
    <t>TÉCNICO EM RECURSOS HUMANOS INTEGRADO - 05/02/2024 22/12/2026</t>
  </si>
  <si>
    <t>GESTÃO DE RECURSOS HUMANOS  - 05/02/2024 17/07/2026</t>
  </si>
  <si>
    <t>TÉCNICO EM MANUTENÇÃO E SUPORTE EM INFORMÁTICA CONCOMITANTE - 05/05/2024 22/12/2026</t>
  </si>
  <si>
    <t>GESTÃO PÚBLICA  - 25/08/2016 19/07/2019</t>
  </si>
  <si>
    <t>GESTÃO PÚBLICA  - 08/02/2017 20/12/2019</t>
  </si>
  <si>
    <t>GESTÃO PÚBLICA  - 24/07/2017 24/07/2020</t>
  </si>
  <si>
    <t>GESTÃO PÚBLICA  - 01/02/2018 18/12/2020</t>
  </si>
  <si>
    <t>GESTÃO PÚBLICA  - 24/07/2018 01/07/2021</t>
  </si>
  <si>
    <t>GESTÃO PÚBLICA  - 29/01/2019 20/12/2021</t>
  </si>
  <si>
    <t>Técnico em Desenho de Construção Civil</t>
  </si>
  <si>
    <t>TÉCNICO EM DESENHO DE CONSTRUÇÃO CIVIL INTEGRADO - 23/07/2019 07/07/2022</t>
  </si>
  <si>
    <t>TÉCNICO EM EDIFICAÇÕES INTEGRADO - 23/07/2019 05/07/2022</t>
  </si>
  <si>
    <t>GESTÃO PÚBLICA  - 23/07/2019 05/07/2022</t>
  </si>
  <si>
    <t>TÉCNICO EM DESENHO DE CONSTRUÇÃO CIVIL INTEGRADO - 03/02/2020 30/12/2022</t>
  </si>
  <si>
    <t>TÉCNICO EM EDIFICAÇÕES INTEGRADO - 03/02/2020 30/12/2022</t>
  </si>
  <si>
    <t>TÉCNICO EM DESENHO DE CONSTRUÇÃO CIVIL INTEGRADO - 26/10/2020 20/08/2023</t>
  </si>
  <si>
    <t>TÉCNICO EM EDIFICAÇÕES INTEGRADO - 26/10/2020 28/08/2023</t>
  </si>
  <si>
    <t>TÉCNICO EM LOGÍSTICA INTEGRADO - 26/10/2020 20/08/2023</t>
  </si>
  <si>
    <t>GESTÃO PÚBLICA  - 26/10/2020 20/08/2023</t>
  </si>
  <si>
    <t>GESTÃO PÚBLICA  - 12/04/2021 12/05/2024</t>
  </si>
  <si>
    <t>TÉCNICO EM DESENHO DE CONSTRUÇÃO CIVIL INTEGRADO - 12/04/2021 12/05/2024</t>
  </si>
  <si>
    <t>TÉCNICO EM EDIFICAÇÕES INTEGRADO - 12/04/2021 12/05/2024</t>
  </si>
  <si>
    <t>TÉCNICO EM LOGÍSTICA INTEGRADO - 12/04/2021 12/05/2024</t>
  </si>
  <si>
    <t>GESTÃO PÚBLICA  - 30/08/2021 30/08/2024</t>
  </si>
  <si>
    <t>TÉCNICO EM DESENHO DE CONSTRUÇÃO CIVIL INTEGRADO - 30/08/2021 30/07/2024</t>
  </si>
  <si>
    <t>TÉCNICO EM EDIFICAÇÕES INTEGRADO - 30/08/2021 30/07/2024</t>
  </si>
  <si>
    <t>TÉCNICO EM LOGÍSTICA INTEGRADO - 30/08/2021 30/07/2024</t>
  </si>
  <si>
    <t>TÉCNICO EM DESENHO DE CONSTRUÇÃO CIVIL INTEGRADO - 31/01/2022 31/12/2024</t>
  </si>
  <si>
    <t>TÉCNICO EM LOGÍSTICA INTEGRADO - 31/01/2022 31/12/2024</t>
  </si>
  <si>
    <t>GESTÃO PÚBLICA  - 31/01/2022 31/12/2024</t>
  </si>
  <si>
    <t>TÉCNICO EM EDIFICAÇÕES INTEGRADO - 31/01/2022 31/12/2024</t>
  </si>
  <si>
    <t>GESTÃO PÚBLICA  - 01/08/2022 18/07/2025</t>
  </si>
  <si>
    <t>TÉCNICO EM DESENHO DE CONSTRUÇÃO CIVIL INTEGRADO - 01/08/2022 18/07/2025</t>
  </si>
  <si>
    <t>TÉCNICO EM LOGÍSTICA INTEGRADO - 01/08/2022 18/07/2025</t>
  </si>
  <si>
    <t>TÉCNICO EM EDIFICAÇÕES INTEGRADO - 01/08/2022 18/07/2025</t>
  </si>
  <si>
    <t>TÉCNICO EM DESENHO DE CONSTRUÇÃO CIVIL INTEGRADO - 31/01/2023 31/12/2025</t>
  </si>
  <si>
    <t>TÉCNICO EM EDIFICAÇÕES INTEGRADO - 31/01/2023 31/12/2025</t>
  </si>
  <si>
    <t>TÉCNICO EM LOGÍSTICA INTEGRADO - 31/01/2023 31/12/2025</t>
  </si>
  <si>
    <t>GESTÃO PÚBLICA  - 31/01/2023 31/12/2025</t>
  </si>
  <si>
    <t>TÉCNICO EM INFRAESTRUTURA ESCOLAR SUBSEQUENTE - 02/04/2023 31/10/2024</t>
  </si>
  <si>
    <t>GESTÃO PÚBLICA  - 31/07/2023 31/07/2026</t>
  </si>
  <si>
    <t>TÉCNICO EM DESENHO DE CONSTRUÇÃO CIVIL INTEGRADO - 31/07/2023 31/07/2026</t>
  </si>
  <si>
    <t>TÉCNICO EM EDIFICAÇÕES INTEGRADO - 31/07/2023 31/07/2026</t>
  </si>
  <si>
    <t>TÉCNICO EM LOGÍSTICA INTEGRADO - 31/07/2023 31/07/2026</t>
  </si>
  <si>
    <t>TÉCNICO EM DESENHO DE CONSTRUÇÃO CIVIL INTEGRADO - 31/01/2024 31/01/2027</t>
  </si>
  <si>
    <t>TÉCNICO EM EDIFICAÇÕES INTEGRADO - 31/01/2024 31/01/2027</t>
  </si>
  <si>
    <t>TÉCNICO EM LOGÍSTICA INTEGRADO - 31/01/2024 31/01/2027</t>
  </si>
  <si>
    <t>GESTÃO PÚBLICA  - 31/01/2024 31/01/2027</t>
  </si>
  <si>
    <t>QUALIFICAÇÃO PROFISSIONAL - GESTÃO E NEGÓCIOS  - 29/04/2024 10/05/2024</t>
  </si>
  <si>
    <t>Manicure e Pedicure</t>
  </si>
  <si>
    <t>MANICURE E PEDICURE  - 09/05/2024 10/06/2024</t>
  </si>
  <si>
    <t>MANICURE E PEDICURE  - 04/06/2024 31/07/2024</t>
  </si>
  <si>
    <t>QUALIFICAÇÃO PROFISSIONAL - GESTÃO E NEGÓCIOS  - 16/06/2024 31/07/2024</t>
  </si>
  <si>
    <t>Pintor de Obras Imobiliárias</t>
  </si>
  <si>
    <t>PINTOR DE OBRAS IMOBILIÁRIAS PROEJA - CONCOMITANTE - 01/07/2024 02/10/2024</t>
  </si>
  <si>
    <t>PINTOR DE OBRAS IMOBILIÁRIAS PROEJA - CONCOMITANTE - 01/07/2024 02/09/2024</t>
  </si>
  <si>
    <t>QUALIFICAÇÃO PROFISSIONAL - PRODUÇÃO CULTURAL E DESIGN  - 15/07/2024 16/08/2024</t>
  </si>
  <si>
    <t>QUALIFICAÇÃO PROFISSIONAL - GESTÃO E NEGÓCIOS  - 15/07/2024 16/08/2024</t>
  </si>
  <si>
    <t>TÉCNICO EM LOGÍSTICA INTEGRADO - 23/09/2024 23/09/2027</t>
  </si>
  <si>
    <t>TÉCNICO EM EDIFICAÇÕES INTEGRADO - 23/09/2024 23/09/2027</t>
  </si>
  <si>
    <t>TÉCNICO EM DESENHO DE CONSTRUÇÃO CIVIL INTEGRADO - 23/09/2024 23/09/2027</t>
  </si>
  <si>
    <t>GESTÃO PÚBLICA  - 23/09/2024 23/09/2027</t>
  </si>
  <si>
    <t>MANICURE E PEDICURE  - 01/10/2024 19/11/2024</t>
  </si>
  <si>
    <t>PINTOR DE OBRAS IMOBILIÁRIAS PROEJA - CONCOMITANTE - 07/10/2024 27/12/2024</t>
  </si>
  <si>
    <t>QUALIFICAÇÃO PROFISSIONAL - GESTÃO E NEGÓCIOS  - 25/10/2024 22/11/2024</t>
  </si>
  <si>
    <t>GESTÃO PÚBLICA  - 28/10/2024 30/03/2026</t>
  </si>
  <si>
    <t>QUALIFICAÇÃO PROFISSIONAL - GESTÃO E NEGÓCIOS  - 11/11/2024 04/12/2024</t>
  </si>
  <si>
    <t>MANICURE E PEDICURE  - 11/11/2024 04/12/2024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</si>
</sst>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000_-;\-* #,##0.0000_-;_-* &quot;-&quot;????_-;_-@_-"/>
    <numFmt numFmtId="165" formatCode="#,##0.0000"/>
    <numFmt numFmtId="166" formatCode="0.0000"/>
    <numFmt numFmtId="167" formatCode="_-* #,##0.0_-;\-* #,##0.0_-;_-* &quot;-&quot;?_-;_-@_-"/>
  </numFmts>
  <fonts count="11" x14ac:knownFonts="1">
    <font>
      <sz val="11"/>
      <color theme="1"/>
      <name val="Calibri"/>
      <scheme val="minor"/>
    </font>
    <font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558ED5"/>
      <name val="Calibri"/>
      <family val="2"/>
      <scheme val="minor"/>
    </font>
    <font>
      <u/>
      <sz val="22"/>
      <color theme="10"/>
      <name val="Calibri"/>
      <family val="2"/>
      <scheme val="minor"/>
    </font>
    <font>
      <sz val="9"/>
      <color rgb="FFF2F2F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6A6A6"/>
        <bgColor rgb="FFFFFFFF"/>
      </patternFill>
    </fill>
    <fill>
      <patternFill patternType="solid">
        <fgColor rgb="FFFABF8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 style="dotted">
        <color rgb="FF000000"/>
      </top>
      <bottom style="thick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66" fontId="0" fillId="0" borderId="0" xfId="0" applyNumberFormat="1"/>
    <xf numFmtId="0" fontId="1" fillId="0" borderId="0" xfId="0" applyFont="1"/>
    <xf numFmtId="0" fontId="0" fillId="0" borderId="1" xfId="0" applyBorder="1"/>
    <xf numFmtId="14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3" borderId="6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 wrapText="1" shrinkToFit="1"/>
    </xf>
    <xf numFmtId="41" fontId="1" fillId="0" borderId="0" xfId="0" applyNumberFormat="1" applyFont="1"/>
    <xf numFmtId="41" fontId="0" fillId="0" borderId="0" xfId="0" applyNumberFormat="1" applyAlignment="1">
      <alignment horizontal="right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1" fontId="5" fillId="5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1" fontId="5" fillId="5" borderId="0" xfId="0" applyNumberFormat="1" applyFont="1" applyFill="1" applyAlignment="1">
      <alignment horizontal="center" vertical="center" wrapText="1"/>
    </xf>
    <xf numFmtId="41" fontId="5" fillId="5" borderId="8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41" fontId="6" fillId="5" borderId="10" xfId="0" applyNumberFormat="1" applyFont="1" applyFill="1" applyBorder="1" applyAlignment="1">
      <alignment horizontal="center" vertical="center" wrapText="1"/>
    </xf>
    <xf numFmtId="41" fontId="7" fillId="5" borderId="10" xfId="0" applyNumberFormat="1" applyFont="1" applyFill="1" applyBorder="1" applyAlignment="1">
      <alignment horizontal="center" vertical="center" wrapText="1"/>
    </xf>
    <xf numFmtId="41" fontId="6" fillId="5" borderId="9" xfId="0" applyNumberFormat="1" applyFont="1" applyFill="1" applyBorder="1" applyAlignment="1">
      <alignment horizontal="center" vertical="center" wrapText="1"/>
    </xf>
    <xf numFmtId="41" fontId="6" fillId="5" borderId="10" xfId="0" quotePrefix="1" applyNumberFormat="1" applyFont="1" applyFill="1" applyBorder="1" applyAlignment="1">
      <alignment horizontal="center" vertical="center" wrapText="1"/>
    </xf>
    <xf numFmtId="41" fontId="6" fillId="5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1" fontId="0" fillId="0" borderId="0" xfId="0" applyNumberFormat="1"/>
    <xf numFmtId="41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0" xfId="0" applyFont="1" applyFill="1"/>
    <xf numFmtId="167" fontId="0" fillId="0" borderId="0" xfId="0" applyNumberFormat="1"/>
    <xf numFmtId="167" fontId="1" fillId="2" borderId="0" xfId="0" applyNumberFormat="1" applyFont="1" applyFill="1"/>
    <xf numFmtId="167" fontId="5" fillId="5" borderId="0" xfId="0" applyNumberFormat="1" applyFont="1" applyFill="1" applyAlignment="1">
      <alignment horizontal="center" vertical="center"/>
    </xf>
    <xf numFmtId="167" fontId="6" fillId="5" borderId="10" xfId="0" quotePrefix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8" fillId="6" borderId="12" xfId="0" applyFont="1" applyFill="1" applyBorder="1" applyAlignment="1">
      <alignment horizontal="right"/>
    </xf>
    <xf numFmtId="41" fontId="8" fillId="6" borderId="13" xfId="0" applyNumberFormat="1" applyFont="1" applyFill="1" applyBorder="1"/>
    <xf numFmtId="167" fontId="8" fillId="6" borderId="13" xfId="0" applyNumberFormat="1" applyFont="1" applyFill="1" applyBorder="1"/>
    <xf numFmtId="164" fontId="8" fillId="6" borderId="13" xfId="0" applyNumberFormat="1" applyFont="1" applyFill="1" applyBorder="1"/>
    <xf numFmtId="0" fontId="8" fillId="6" borderId="14" xfId="0" applyFont="1" applyFill="1" applyBorder="1"/>
    <xf numFmtId="0" fontId="0" fillId="7" borderId="0" xfId="0" applyFill="1"/>
    <xf numFmtId="14" fontId="0" fillId="7" borderId="0" xfId="0" applyNumberFormat="1" applyFill="1"/>
    <xf numFmtId="165" fontId="0" fillId="7" borderId="0" xfId="0" applyNumberFormat="1" applyFill="1"/>
    <xf numFmtId="164" fontId="0" fillId="7" borderId="0" xfId="0" applyNumberFormat="1" applyFill="1"/>
    <xf numFmtId="0" fontId="5" fillId="5" borderId="8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41" fontId="5" fillId="5" borderId="0" xfId="0" applyNumberFormat="1" applyFont="1" applyFill="1" applyAlignment="1">
      <alignment horizontal="center" vertical="center"/>
    </xf>
    <xf numFmtId="41" fontId="5" fillId="5" borderId="15" xfId="0" applyNumberFormat="1" applyFont="1" applyFill="1" applyBorder="1" applyAlignment="1">
      <alignment horizontal="center" vertical="center"/>
    </xf>
    <xf numFmtId="43" fontId="5" fillId="5" borderId="8" xfId="0" applyNumberFormat="1" applyFont="1" applyFill="1" applyBorder="1" applyAlignment="1">
      <alignment horizontal="center" vertical="center"/>
    </xf>
    <xf numFmtId="43" fontId="5" fillId="5" borderId="0" xfId="0" applyNumberFormat="1" applyFont="1" applyFill="1" applyAlignment="1">
      <alignment horizontal="center" vertical="center"/>
    </xf>
    <xf numFmtId="43" fontId="5" fillId="5" borderId="1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presentation/d/1bgShZxUahWYIJ99CRVePYm8gp9jRlyI0cbT-alw-YwA/edit?usp=sharing" TargetMode="External"/><Relationship Id="rId2" Type="http://schemas.openxmlformats.org/officeDocument/2006/relationships/hyperlink" Target="https://docs.google.com/presentation/d/1bgShZxUahWYIJ99CRVePYm8gp9jRlyI0cbT-alw-YwA/edit?usp=sharing" TargetMode="External"/><Relationship Id="rId1" Type="http://schemas.openxmlformats.org/officeDocument/2006/relationships/hyperlink" Target="https://docs.google.com/presentation/d/1bgShZxUahWYIJ99CRVePYm8gp9jRlyI0cbT-alw-YwA/edit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ocs.google.com/presentation/d/1bgShZxUahWYIJ99CRVePYm8gp9jRlyI0cbT-alw-YwA/edit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opLeftCell="E3" workbookViewId="0">
      <selection activeCell="L29" sqref="L29"/>
    </sheetView>
  </sheetViews>
  <sheetFormatPr defaultColWidth="0" defaultRowHeight="15" x14ac:dyDescent="0.25"/>
  <cols>
    <col min="1" max="1" width="10.5703125" style="1" customWidth="1"/>
    <col min="2" max="2" width="17.28515625" style="1" customWidth="1"/>
    <col min="3" max="3" width="12.5703125" style="1" customWidth="1"/>
    <col min="4" max="4" width="80.7109375" style="1" customWidth="1"/>
    <col min="5" max="5" width="20.7109375" style="42" customWidth="1"/>
    <col min="6" max="6" width="20.7109375" style="42" hidden="1" customWidth="1"/>
    <col min="7" max="8" width="20.7109375" style="42" customWidth="1"/>
    <col min="9" max="10" width="20.7109375" style="43" customWidth="1"/>
    <col min="11" max="12" width="9.140625" style="43" customWidth="1"/>
    <col min="13" max="13" width="9.140625" style="50" customWidth="1"/>
    <col min="14" max="17" width="20.7109375" style="44" customWidth="1"/>
    <col min="18" max="19" width="0" style="1" hidden="1"/>
    <col min="20" max="20" width="9.28515625" style="1" hidden="1" customWidth="1"/>
  </cols>
  <sheetData>
    <row r="1" spans="1:17" ht="31.5" hidden="1" customHeight="1" x14ac:dyDescent="0.25">
      <c r="A1" s="2"/>
      <c r="B1" s="2"/>
      <c r="C1" s="2"/>
      <c r="D1" s="2"/>
      <c r="E1" s="25"/>
      <c r="F1" s="25"/>
      <c r="G1" s="25"/>
      <c r="H1" s="25"/>
      <c r="I1" s="25"/>
      <c r="J1" s="26"/>
      <c r="K1" s="26"/>
      <c r="L1" s="26"/>
      <c r="M1" s="46"/>
      <c r="N1" s="27"/>
      <c r="O1" s="27"/>
      <c r="P1" s="27"/>
      <c r="Q1" s="27"/>
    </row>
    <row r="2" spans="1:17" ht="40.5" hidden="1" customHeight="1" x14ac:dyDescent="0.25">
      <c r="A2" s="45"/>
      <c r="B2" s="45"/>
      <c r="C2" s="45"/>
      <c r="D2" s="45"/>
      <c r="E2" s="45" t="s">
        <v>0</v>
      </c>
      <c r="F2" s="45" t="s">
        <v>1</v>
      </c>
      <c r="G2" s="45" t="s">
        <v>2</v>
      </c>
      <c r="H2" s="45" t="s">
        <v>3</v>
      </c>
      <c r="I2" s="45" t="s">
        <v>4</v>
      </c>
      <c r="J2" s="45"/>
      <c r="K2" s="45"/>
      <c r="L2" s="45"/>
      <c r="M2" s="47"/>
      <c r="N2" s="45" t="s">
        <v>0</v>
      </c>
      <c r="O2" s="45" t="s">
        <v>2</v>
      </c>
      <c r="P2" s="28" t="s">
        <v>3</v>
      </c>
      <c r="Q2" s="29" t="s">
        <v>4</v>
      </c>
    </row>
    <row r="3" spans="1:17" ht="36" customHeight="1" x14ac:dyDescent="0.45">
      <c r="A3" s="62" t="s">
        <v>5</v>
      </c>
      <c r="B3" s="62"/>
      <c r="C3" s="62"/>
      <c r="D3" s="62"/>
      <c r="E3" s="63" t="s">
        <v>6</v>
      </c>
      <c r="F3" s="63"/>
      <c r="G3" s="63"/>
      <c r="H3" s="63"/>
      <c r="I3" s="63"/>
      <c r="J3" s="64"/>
      <c r="K3" s="30"/>
      <c r="L3" s="30"/>
      <c r="M3" s="48"/>
      <c r="N3" s="60" t="s">
        <v>7</v>
      </c>
      <c r="O3" s="61"/>
      <c r="P3" s="61"/>
      <c r="Q3" s="61"/>
    </row>
    <row r="4" spans="1:17" ht="43.15" customHeight="1" x14ac:dyDescent="0.25">
      <c r="A4" s="68" t="s">
        <v>8</v>
      </c>
      <c r="B4" s="68"/>
      <c r="C4" s="31"/>
      <c r="D4" s="31"/>
      <c r="E4" s="30" t="s">
        <v>0</v>
      </c>
      <c r="F4" s="32" t="s">
        <v>9</v>
      </c>
      <c r="G4" s="30" t="s">
        <v>2</v>
      </c>
      <c r="H4" s="30" t="s">
        <v>3</v>
      </c>
      <c r="I4" s="32" t="s">
        <v>10</v>
      </c>
      <c r="J4" s="30" t="s">
        <v>11</v>
      </c>
      <c r="K4" s="65" t="s">
        <v>12</v>
      </c>
      <c r="L4" s="66"/>
      <c r="M4" s="67"/>
      <c r="N4" s="33" t="s">
        <v>0</v>
      </c>
      <c r="O4" s="30" t="s">
        <v>2</v>
      </c>
      <c r="P4" s="30" t="s">
        <v>3</v>
      </c>
      <c r="Q4" s="32" t="str">
        <f>I4</f>
        <v>EAD FINANCIAMENTO PRÓPRIO</v>
      </c>
    </row>
    <row r="5" spans="1:17" s="41" customFormat="1" ht="56.45" customHeight="1" x14ac:dyDescent="0.25">
      <c r="A5" s="34" t="s">
        <v>13</v>
      </c>
      <c r="B5" s="34" t="s">
        <v>14</v>
      </c>
      <c r="C5" s="35" t="s">
        <v>15</v>
      </c>
      <c r="D5" s="35" t="s">
        <v>16</v>
      </c>
      <c r="E5" s="36" t="s">
        <v>17</v>
      </c>
      <c r="F5" s="37" t="s">
        <v>18</v>
      </c>
      <c r="G5" s="36" t="s">
        <v>19</v>
      </c>
      <c r="H5" s="38" t="s">
        <v>20</v>
      </c>
      <c r="I5" s="37" t="s">
        <v>21</v>
      </c>
      <c r="J5" s="37" t="s">
        <v>22</v>
      </c>
      <c r="K5" s="39" t="s">
        <v>23</v>
      </c>
      <c r="L5" s="39" t="s">
        <v>24</v>
      </c>
      <c r="M5" s="49" t="s">
        <v>25</v>
      </c>
      <c r="N5" s="38" t="str">
        <f>E5</f>
        <v>MEDIOTEC,
OUTROS RECURSOS EXTERNOS,
PROGRAMA EJA INTEGRADA - EPT  (SEB/MEC),
SEM PROGRAMA ASSOCIADO</v>
      </c>
      <c r="O5" s="40" t="str">
        <f>G5</f>
        <v>APRENDA MAIS,
E-TEC,
MEDIOTEC,
OUTROS RECURSOS EXTERNOS,
PROGRAMA EJA INTEGRADA - EPT  (SEB/MEC),
UAB</v>
      </c>
      <c r="P5" s="40" t="str">
        <f>H5</f>
        <v>OUTROS MOOC</v>
      </c>
      <c r="Q5" s="40" t="str">
        <f>I5</f>
        <v>SEM PROGRAMA ASSOCIADO</v>
      </c>
    </row>
    <row r="6" spans="1:17" ht="15.6" customHeight="1" x14ac:dyDescent="0.25">
      <c r="A6" s="55"/>
      <c r="B6" s="55"/>
      <c r="C6" s="55"/>
      <c r="D6" s="51" t="s">
        <v>26</v>
      </c>
      <c r="E6" s="52">
        <f t="shared" ref="E6:Q6" si="0">SUM(E7:E26)</f>
        <v>23019</v>
      </c>
      <c r="F6" s="52">
        <f t="shared" si="0"/>
        <v>0</v>
      </c>
      <c r="G6" s="52">
        <f t="shared" si="0"/>
        <v>3655</v>
      </c>
      <c r="H6" s="52">
        <f t="shared" si="0"/>
        <v>0</v>
      </c>
      <c r="I6" s="52">
        <f t="shared" si="0"/>
        <v>2115</v>
      </c>
      <c r="J6" s="52">
        <f t="shared" si="0"/>
        <v>28789</v>
      </c>
      <c r="K6" s="52">
        <f t="shared" si="0"/>
        <v>719</v>
      </c>
      <c r="L6" s="52">
        <f t="shared" si="0"/>
        <v>698</v>
      </c>
      <c r="M6" s="53">
        <f t="shared" si="0"/>
        <v>708.5</v>
      </c>
      <c r="N6" s="54">
        <f t="shared" si="0"/>
        <v>47144.368176896925</v>
      </c>
      <c r="O6" s="54">
        <f t="shared" si="0"/>
        <v>3177.5086833663709</v>
      </c>
      <c r="P6" s="54">
        <f t="shared" si="0"/>
        <v>0</v>
      </c>
      <c r="Q6" s="54">
        <f t="shared" si="0"/>
        <v>1556.1102718508332</v>
      </c>
    </row>
    <row r="7" spans="1:17" x14ac:dyDescent="0.25">
      <c r="A7" s="1" t="s">
        <v>27</v>
      </c>
      <c r="B7" s="1" t="s">
        <v>28</v>
      </c>
      <c r="C7" s="1" t="s">
        <v>29</v>
      </c>
      <c r="D7" s="1" t="s">
        <v>30</v>
      </c>
      <c r="E7" s="42">
        <f>SUMIFS('Ciclos de Matrículas'!$AD$4:$AD$1341,'Ciclos de Matrículas'!$D$4:$D$1341,$D7,'Ciclos de Matrículas'!$AP$4:$AP$1341,E$2)</f>
        <v>1088</v>
      </c>
      <c r="F7" s="42">
        <f>SUMIFS('Ciclos de Matrículas'!$AD$4:$AD$1341,'Ciclos de Matrículas'!$D$4:$D$1341,$D7,'Ciclos de Matrículas'!$AP$4:$AP$1341,F$2)</f>
        <v>0</v>
      </c>
      <c r="G7" s="42">
        <f>SUMIFS('Ciclos de Matrículas'!$AD$4:$AD$1341,'Ciclos de Matrículas'!$D$4:$D$1341,$D7,'Ciclos de Matrículas'!$AP$4:$AP$1341,G$2)</f>
        <v>0</v>
      </c>
      <c r="H7" s="42">
        <f>SUMIFS('Ciclos de Matrículas'!$AD$4:$AD$1341,'Ciclos de Matrículas'!$D$4:$D$1341,$D7,'Ciclos de Matrículas'!$AP$4:$AP$1341,H$2)</f>
        <v>0</v>
      </c>
      <c r="I7" s="43">
        <f>SUMIFS('Ciclos de Matrículas'!$AD$4:$AD$1341,'Ciclos de Matrículas'!$D$4:$D$1341,$D7,'Ciclos de Matrículas'!$AP$4:$AP$1341,I$2)</f>
        <v>95</v>
      </c>
      <c r="J7" s="43">
        <f t="shared" ref="J7:J26" si="1">SUM(E7:I7)</f>
        <v>1183</v>
      </c>
      <c r="M7" s="50" t="str">
        <f t="shared" ref="M7:M26" si="2">IFERROR(AVERAGE(K7:L7), "")</f>
        <v/>
      </c>
      <c r="N7" s="44">
        <f>SUMIFS('Ciclos de Matrículas'!$AO$4:$AO$1341,'Ciclos de Matrículas'!$D$4:$D$1341,$D7,'Ciclos de Matrículas'!$AP$4:$AP$1341,N$2)</f>
        <v>2340.5057357305645</v>
      </c>
      <c r="O7" s="44">
        <f>SUMIFS('Ciclos de Matrículas'!$AO$4:$AO$1341,'Ciclos de Matrículas'!$D$4:$D$1341,$D7,'Ciclos de Matrículas'!$AP$4:$AP$1341,O$2)</f>
        <v>0</v>
      </c>
      <c r="P7" s="44">
        <f>SUMIFS('Ciclos de Matrículas'!$AO$4:$AO$1341,'Ciclos de Matrículas'!$D$4:$D$1341,$D7,'Ciclos de Matrículas'!$AP$4:$AP$1341,P$2)</f>
        <v>0</v>
      </c>
      <c r="Q7" s="44">
        <f>SUMIFS('Ciclos de Matrículas'!$AO$4:$AO$1341,'Ciclos de Matrículas'!$D$4:$D$1341,$D7,'Ciclos de Matrículas'!$AP$4:$AP$1341,Q$2)</f>
        <v>69.046860453770606</v>
      </c>
    </row>
    <row r="8" spans="1:17" x14ac:dyDescent="0.25">
      <c r="A8" s="1" t="s">
        <v>27</v>
      </c>
      <c r="B8" s="1" t="s">
        <v>31</v>
      </c>
      <c r="C8" s="1" t="s">
        <v>29</v>
      </c>
      <c r="D8" s="1" t="s">
        <v>32</v>
      </c>
      <c r="E8" s="42">
        <f>SUMIFS('Ciclos de Matrículas'!$AD$4:$AD$1341,'Ciclos de Matrículas'!$D$4:$D$1341,$D8,'Ciclos de Matrículas'!$AP$4:$AP$1341,E$2)</f>
        <v>324</v>
      </c>
      <c r="F8" s="42">
        <f>SUMIFS('Ciclos de Matrículas'!$AD$4:$AD$1341,'Ciclos de Matrículas'!$D$4:$D$1341,$D8,'Ciclos de Matrículas'!$AP$4:$AP$1341,F$2)</f>
        <v>0</v>
      </c>
      <c r="G8" s="42">
        <f>SUMIFS('Ciclos de Matrículas'!$AD$4:$AD$1341,'Ciclos de Matrículas'!$D$4:$D$1341,$D8,'Ciclos de Matrículas'!$AP$4:$AP$1341,G$2)</f>
        <v>0</v>
      </c>
      <c r="H8" s="42">
        <f>SUMIFS('Ciclos de Matrículas'!$AD$4:$AD$1341,'Ciclos de Matrículas'!$D$4:$D$1341,$D8,'Ciclos de Matrículas'!$AP$4:$AP$1341,H$2)</f>
        <v>0</v>
      </c>
      <c r="I8" s="43">
        <f>SUMIFS('Ciclos de Matrículas'!$AD$4:$AD$1341,'Ciclos de Matrículas'!$D$4:$D$1341,$D8,'Ciclos de Matrículas'!$AP$4:$AP$1341,I$2)</f>
        <v>0</v>
      </c>
      <c r="J8" s="43">
        <f t="shared" si="1"/>
        <v>324</v>
      </c>
      <c r="M8" s="50" t="str">
        <f t="shared" si="2"/>
        <v/>
      </c>
      <c r="N8" s="44">
        <f>SUMIFS('Ciclos de Matrículas'!$AO$4:$AO$1341,'Ciclos de Matrículas'!$D$4:$D$1341,$D8,'Ciclos de Matrículas'!$AP$4:$AP$1341,N$2)</f>
        <v>906.71061254126789</v>
      </c>
      <c r="O8" s="44">
        <f>SUMIFS('Ciclos de Matrículas'!$AO$4:$AO$1341,'Ciclos de Matrículas'!$D$4:$D$1341,$D8,'Ciclos de Matrículas'!$AP$4:$AP$1341,O$2)</f>
        <v>0</v>
      </c>
      <c r="P8" s="44">
        <f>SUMIFS('Ciclos de Matrículas'!$AO$4:$AO$1341,'Ciclos de Matrículas'!$D$4:$D$1341,$D8,'Ciclos de Matrículas'!$AP$4:$AP$1341,P$2)</f>
        <v>0</v>
      </c>
      <c r="Q8" s="44">
        <f>SUMIFS('Ciclos de Matrículas'!$AO$4:$AO$1341,'Ciclos de Matrículas'!$D$4:$D$1341,$D8,'Ciclos de Matrículas'!$AP$4:$AP$1341,Q$2)</f>
        <v>0</v>
      </c>
    </row>
    <row r="9" spans="1:17" x14ac:dyDescent="0.25">
      <c r="A9" s="1" t="s">
        <v>27</v>
      </c>
      <c r="B9" s="1" t="s">
        <v>33</v>
      </c>
      <c r="C9" s="1" t="s">
        <v>29</v>
      </c>
      <c r="D9" s="1" t="s">
        <v>34</v>
      </c>
      <c r="E9" s="42">
        <f>SUMIFS('Ciclos de Matrículas'!$AD$4:$AD$1341,'Ciclos de Matrículas'!$D$4:$D$1341,$D9,'Ciclos de Matrículas'!$AP$4:$AP$1341,E$2)</f>
        <v>863</v>
      </c>
      <c r="F9" s="42">
        <f>SUMIFS('Ciclos de Matrículas'!$AD$4:$AD$1341,'Ciclos de Matrículas'!$D$4:$D$1341,$D9,'Ciclos de Matrículas'!$AP$4:$AP$1341,F$2)</f>
        <v>0</v>
      </c>
      <c r="G9" s="42">
        <f>SUMIFS('Ciclos de Matrículas'!$AD$4:$AD$1341,'Ciclos de Matrículas'!$D$4:$D$1341,$D9,'Ciclos de Matrículas'!$AP$4:$AP$1341,G$2)</f>
        <v>0</v>
      </c>
      <c r="H9" s="42">
        <f>SUMIFS('Ciclos de Matrículas'!$AD$4:$AD$1341,'Ciclos de Matrículas'!$D$4:$D$1341,$D9,'Ciclos de Matrículas'!$AP$4:$AP$1341,H$2)</f>
        <v>0</v>
      </c>
      <c r="I9" s="43">
        <f>SUMIFS('Ciclos de Matrículas'!$AD$4:$AD$1341,'Ciclos de Matrículas'!$D$4:$D$1341,$D9,'Ciclos de Matrículas'!$AP$4:$AP$1341,I$2)</f>
        <v>85</v>
      </c>
      <c r="J9" s="43">
        <f t="shared" si="1"/>
        <v>948</v>
      </c>
      <c r="M9" s="50" t="str">
        <f t="shared" si="2"/>
        <v/>
      </c>
      <c r="N9" s="44">
        <f>SUMIFS('Ciclos de Matrículas'!$AO$4:$AO$1341,'Ciclos de Matrículas'!$D$4:$D$1341,$D9,'Ciclos de Matrículas'!$AP$4:$AP$1341,N$2)</f>
        <v>1878.7635468391445</v>
      </c>
      <c r="O9" s="44">
        <f>SUMIFS('Ciclos de Matrículas'!$AO$4:$AO$1341,'Ciclos de Matrículas'!$D$4:$D$1341,$D9,'Ciclos de Matrículas'!$AP$4:$AP$1341,O$2)</f>
        <v>0</v>
      </c>
      <c r="P9" s="44">
        <f>SUMIFS('Ciclos de Matrículas'!$AO$4:$AO$1341,'Ciclos de Matrículas'!$D$4:$D$1341,$D9,'Ciclos de Matrículas'!$AP$4:$AP$1341,P$2)</f>
        <v>0</v>
      </c>
      <c r="Q9" s="44">
        <f>SUMIFS('Ciclos de Matrículas'!$AO$4:$AO$1341,'Ciclos de Matrículas'!$D$4:$D$1341,$D9,'Ciclos de Matrículas'!$AP$4:$AP$1341,Q$2)</f>
        <v>67.680757714997185</v>
      </c>
    </row>
    <row r="10" spans="1:17" x14ac:dyDescent="0.25">
      <c r="A10" s="1" t="s">
        <v>27</v>
      </c>
      <c r="B10" s="1" t="s">
        <v>35</v>
      </c>
      <c r="C10" s="1" t="s">
        <v>29</v>
      </c>
      <c r="D10" s="1" t="s">
        <v>36</v>
      </c>
      <c r="E10" s="42">
        <f>SUMIFS('Ciclos de Matrículas'!$AD$4:$AD$1341,'Ciclos de Matrículas'!$D$4:$D$1341,$D10,'Ciclos de Matrículas'!$AP$4:$AP$1341,E$2)</f>
        <v>1029</v>
      </c>
      <c r="F10" s="42">
        <f>SUMIFS('Ciclos de Matrículas'!$AD$4:$AD$1341,'Ciclos de Matrículas'!$D$4:$D$1341,$D10,'Ciclos de Matrículas'!$AP$4:$AP$1341,F$2)</f>
        <v>0</v>
      </c>
      <c r="G10" s="42">
        <f>SUMIFS('Ciclos de Matrículas'!$AD$4:$AD$1341,'Ciclos de Matrículas'!$D$4:$D$1341,$D10,'Ciclos de Matrículas'!$AP$4:$AP$1341,G$2)</f>
        <v>0</v>
      </c>
      <c r="H10" s="42">
        <f>SUMIFS('Ciclos de Matrículas'!$AD$4:$AD$1341,'Ciclos de Matrículas'!$D$4:$D$1341,$D10,'Ciclos de Matrículas'!$AP$4:$AP$1341,H$2)</f>
        <v>0</v>
      </c>
      <c r="I10" s="43">
        <f>SUMIFS('Ciclos de Matrículas'!$AD$4:$AD$1341,'Ciclos de Matrículas'!$D$4:$D$1341,$D10,'Ciclos de Matrículas'!$AP$4:$AP$1341,I$2)</f>
        <v>94</v>
      </c>
      <c r="J10" s="43">
        <f t="shared" si="1"/>
        <v>1123</v>
      </c>
      <c r="K10" s="43">
        <v>119</v>
      </c>
      <c r="L10" s="43">
        <v>119</v>
      </c>
      <c r="M10" s="50">
        <f t="shared" si="2"/>
        <v>119</v>
      </c>
      <c r="N10" s="44">
        <f>SUMIFS('Ciclos de Matrículas'!$AO$4:$AO$1341,'Ciclos de Matrículas'!$D$4:$D$1341,$D10,'Ciclos de Matrículas'!$AP$4:$AP$1341,N$2)</f>
        <v>2890.1538179957379</v>
      </c>
      <c r="O10" s="44">
        <f>SUMIFS('Ciclos de Matrículas'!$AO$4:$AO$1341,'Ciclos de Matrículas'!$D$4:$D$1341,$D10,'Ciclos de Matrículas'!$AP$4:$AP$1341,O$2)</f>
        <v>0</v>
      </c>
      <c r="P10" s="44">
        <f>SUMIFS('Ciclos de Matrículas'!$AO$4:$AO$1341,'Ciclos de Matrículas'!$D$4:$D$1341,$D10,'Ciclos de Matrículas'!$AP$4:$AP$1341,P$2)</f>
        <v>0</v>
      </c>
      <c r="Q10" s="44">
        <f>SUMIFS('Ciclos de Matrículas'!$AO$4:$AO$1341,'Ciclos de Matrículas'!$D$4:$D$1341,$D10,'Ciclos de Matrículas'!$AP$4:$AP$1341,Q$2)</f>
        <v>103.40614186851212</v>
      </c>
    </row>
    <row r="11" spans="1:17" x14ac:dyDescent="0.25">
      <c r="A11" s="1" t="s">
        <v>27</v>
      </c>
      <c r="B11" s="1" t="s">
        <v>37</v>
      </c>
      <c r="C11" s="1" t="s">
        <v>29</v>
      </c>
      <c r="D11" s="1" t="s">
        <v>38</v>
      </c>
      <c r="E11" s="42">
        <f>SUMIFS('Ciclos de Matrículas'!$AD$4:$AD$1341,'Ciclos de Matrículas'!$D$4:$D$1341,$D11,'Ciclos de Matrículas'!$AP$4:$AP$1341,E$2)</f>
        <v>1085</v>
      </c>
      <c r="F11" s="42">
        <f>SUMIFS('Ciclos de Matrículas'!$AD$4:$AD$1341,'Ciclos de Matrículas'!$D$4:$D$1341,$D11,'Ciclos de Matrículas'!$AP$4:$AP$1341,F$2)</f>
        <v>0</v>
      </c>
      <c r="G11" s="42">
        <f>SUMIFS('Ciclos de Matrículas'!$AD$4:$AD$1341,'Ciclos de Matrículas'!$D$4:$D$1341,$D11,'Ciclos de Matrículas'!$AP$4:$AP$1341,G$2)</f>
        <v>0</v>
      </c>
      <c r="H11" s="42">
        <f>SUMIFS('Ciclos de Matrículas'!$AD$4:$AD$1341,'Ciclos de Matrículas'!$D$4:$D$1341,$D11,'Ciclos de Matrículas'!$AP$4:$AP$1341,H$2)</f>
        <v>0</v>
      </c>
      <c r="I11" s="43">
        <f>SUMIFS('Ciclos de Matrículas'!$AD$4:$AD$1341,'Ciclos de Matrículas'!$D$4:$D$1341,$D11,'Ciclos de Matrículas'!$AP$4:$AP$1341,I$2)</f>
        <v>28</v>
      </c>
      <c r="J11" s="43">
        <f t="shared" si="1"/>
        <v>1113</v>
      </c>
      <c r="M11" s="50" t="str">
        <f t="shared" si="2"/>
        <v/>
      </c>
      <c r="N11" s="44">
        <f>SUMIFS('Ciclos de Matrículas'!$AO$4:$AO$1341,'Ciclos de Matrículas'!$D$4:$D$1341,$D11,'Ciclos de Matrículas'!$AP$4:$AP$1341,N$2)</f>
        <v>3179.9956016147576</v>
      </c>
      <c r="O11" s="44">
        <f>SUMIFS('Ciclos de Matrículas'!$AO$4:$AO$1341,'Ciclos de Matrículas'!$D$4:$D$1341,$D11,'Ciclos de Matrículas'!$AP$4:$AP$1341,O$2)</f>
        <v>0</v>
      </c>
      <c r="P11" s="44">
        <f>SUMIFS('Ciclos de Matrículas'!$AO$4:$AO$1341,'Ciclos de Matrículas'!$D$4:$D$1341,$D11,'Ciclos de Matrículas'!$AP$4:$AP$1341,P$2)</f>
        <v>0</v>
      </c>
      <c r="Q11" s="44">
        <f>SUMIFS('Ciclos de Matrículas'!$AO$4:$AO$1341,'Ciclos de Matrículas'!$D$4:$D$1341,$D11,'Ciclos de Matrículas'!$AP$4:$AP$1341,Q$2)</f>
        <v>28.468801313628898</v>
      </c>
    </row>
    <row r="12" spans="1:17" x14ac:dyDescent="0.25">
      <c r="A12" s="1" t="s">
        <v>27</v>
      </c>
      <c r="B12" s="1" t="s">
        <v>39</v>
      </c>
      <c r="C12" s="1" t="s">
        <v>29</v>
      </c>
      <c r="D12" s="1" t="s">
        <v>40</v>
      </c>
      <c r="E12" s="42">
        <f>SUMIFS('Ciclos de Matrículas'!$AD$4:$AD$1341,'Ciclos de Matrículas'!$D$4:$D$1341,$D12,'Ciclos de Matrículas'!$AP$4:$AP$1341,E$2)</f>
        <v>0</v>
      </c>
      <c r="F12" s="42">
        <f>SUMIFS('Ciclos de Matrículas'!$AD$4:$AD$1341,'Ciclos de Matrículas'!$D$4:$D$1341,$D12,'Ciclos de Matrículas'!$AP$4:$AP$1341,F$2)</f>
        <v>0</v>
      </c>
      <c r="G12" s="42">
        <f>SUMIFS('Ciclos de Matrículas'!$AD$4:$AD$1341,'Ciclos de Matrículas'!$D$4:$D$1341,$D12,'Ciclos de Matrículas'!$AP$4:$AP$1341,G$2)</f>
        <v>0</v>
      </c>
      <c r="H12" s="42">
        <f>SUMIFS('Ciclos de Matrículas'!$AD$4:$AD$1341,'Ciclos de Matrículas'!$D$4:$D$1341,$D12,'Ciclos de Matrículas'!$AP$4:$AP$1341,H$2)</f>
        <v>0</v>
      </c>
      <c r="I12" s="43">
        <f>SUMIFS('Ciclos de Matrículas'!$AD$4:$AD$1341,'Ciclos de Matrículas'!$D$4:$D$1341,$D12,'Ciclos de Matrículas'!$AP$4:$AP$1341,I$2)</f>
        <v>0</v>
      </c>
      <c r="J12" s="43">
        <f t="shared" si="1"/>
        <v>0</v>
      </c>
      <c r="M12" s="50" t="str">
        <f t="shared" si="2"/>
        <v/>
      </c>
      <c r="N12" s="44">
        <f>SUMIFS('Ciclos de Matrículas'!$AO$4:$AO$1341,'Ciclos de Matrículas'!$D$4:$D$1341,$D12,'Ciclos de Matrículas'!$AP$4:$AP$1341,N$2)</f>
        <v>0</v>
      </c>
      <c r="O12" s="44">
        <f>SUMIFS('Ciclos de Matrículas'!$AO$4:$AO$1341,'Ciclos de Matrículas'!$D$4:$D$1341,$D12,'Ciclos de Matrículas'!$AP$4:$AP$1341,O$2)</f>
        <v>0</v>
      </c>
      <c r="P12" s="44">
        <f>SUMIFS('Ciclos de Matrículas'!$AO$4:$AO$1341,'Ciclos de Matrículas'!$D$4:$D$1341,$D12,'Ciclos de Matrículas'!$AP$4:$AP$1341,P$2)</f>
        <v>0</v>
      </c>
      <c r="Q12" s="44">
        <f>SUMIFS('Ciclos de Matrículas'!$AO$4:$AO$1341,'Ciclos de Matrículas'!$D$4:$D$1341,$D12,'Ciclos de Matrículas'!$AP$4:$AP$1341,Q$2)</f>
        <v>0</v>
      </c>
    </row>
    <row r="13" spans="1:17" x14ac:dyDescent="0.25">
      <c r="A13" s="1" t="s">
        <v>27</v>
      </c>
      <c r="B13" s="1" t="s">
        <v>41</v>
      </c>
      <c r="C13" s="1" t="s">
        <v>29</v>
      </c>
      <c r="D13" s="1" t="s">
        <v>42</v>
      </c>
      <c r="E13" s="42">
        <f>SUMIFS('Ciclos de Matrículas'!$AD$4:$AD$1341,'Ciclos de Matrículas'!$D$4:$D$1341,$D13,'Ciclos de Matrículas'!$AP$4:$AP$1341,E$2)</f>
        <v>1376</v>
      </c>
      <c r="F13" s="42">
        <f>SUMIFS('Ciclos de Matrículas'!$AD$4:$AD$1341,'Ciclos de Matrículas'!$D$4:$D$1341,$D13,'Ciclos de Matrículas'!$AP$4:$AP$1341,F$2)</f>
        <v>0</v>
      </c>
      <c r="G13" s="42">
        <f>SUMIFS('Ciclos de Matrículas'!$AD$4:$AD$1341,'Ciclos de Matrículas'!$D$4:$D$1341,$D13,'Ciclos de Matrículas'!$AP$4:$AP$1341,G$2)</f>
        <v>0</v>
      </c>
      <c r="H13" s="42">
        <f>SUMIFS('Ciclos de Matrículas'!$AD$4:$AD$1341,'Ciclos de Matrículas'!$D$4:$D$1341,$D13,'Ciclos de Matrículas'!$AP$4:$AP$1341,H$2)</f>
        <v>0</v>
      </c>
      <c r="I13" s="43">
        <f>SUMIFS('Ciclos de Matrículas'!$AD$4:$AD$1341,'Ciclos de Matrículas'!$D$4:$D$1341,$D13,'Ciclos de Matrículas'!$AP$4:$AP$1341,I$2)</f>
        <v>40</v>
      </c>
      <c r="J13" s="43">
        <f t="shared" si="1"/>
        <v>1416</v>
      </c>
      <c r="K13" s="43">
        <v>72</v>
      </c>
      <c r="L13" s="43">
        <v>72</v>
      </c>
      <c r="M13" s="50">
        <f t="shared" si="2"/>
        <v>72</v>
      </c>
      <c r="N13" s="44">
        <f>SUMIFS('Ciclos de Matrículas'!$AO$4:$AO$1341,'Ciclos de Matrículas'!$D$4:$D$1341,$D13,'Ciclos de Matrículas'!$AP$4:$AP$1341,N$2)</f>
        <v>3361.6010670218702</v>
      </c>
      <c r="O13" s="44">
        <f>SUMIFS('Ciclos de Matrículas'!$AO$4:$AO$1341,'Ciclos de Matrículas'!$D$4:$D$1341,$D13,'Ciclos de Matrículas'!$AP$4:$AP$1341,O$2)</f>
        <v>0</v>
      </c>
      <c r="P13" s="44">
        <f>SUMIFS('Ciclos de Matrículas'!$AO$4:$AO$1341,'Ciclos de Matrículas'!$D$4:$D$1341,$D13,'Ciclos de Matrículas'!$AP$4:$AP$1341,P$2)</f>
        <v>0</v>
      </c>
      <c r="Q13" s="44">
        <f>SUMIFS('Ciclos de Matrículas'!$AO$4:$AO$1341,'Ciclos de Matrículas'!$D$4:$D$1341,$D13,'Ciclos de Matrículas'!$AP$4:$AP$1341,Q$2)</f>
        <v>40.501536885245898</v>
      </c>
    </row>
    <row r="14" spans="1:17" x14ac:dyDescent="0.25">
      <c r="A14" s="1" t="s">
        <v>27</v>
      </c>
      <c r="B14" s="1" t="s">
        <v>43</v>
      </c>
      <c r="C14" s="1" t="s">
        <v>29</v>
      </c>
      <c r="D14" s="1" t="s">
        <v>44</v>
      </c>
      <c r="E14" s="42">
        <f>SUMIFS('Ciclos de Matrículas'!$AD$4:$AD$1341,'Ciclos de Matrículas'!$D$4:$D$1341,$D14,'Ciclos de Matrículas'!$AP$4:$AP$1341,E$2)</f>
        <v>5284</v>
      </c>
      <c r="F14" s="42">
        <f>SUMIFS('Ciclos de Matrículas'!$AD$4:$AD$1341,'Ciclos de Matrículas'!$D$4:$D$1341,$D14,'Ciclos de Matrículas'!$AP$4:$AP$1341,F$2)</f>
        <v>0</v>
      </c>
      <c r="G14" s="42">
        <f>SUMIFS('Ciclos de Matrículas'!$AD$4:$AD$1341,'Ciclos de Matrículas'!$D$4:$D$1341,$D14,'Ciclos de Matrículas'!$AP$4:$AP$1341,G$2)</f>
        <v>2213</v>
      </c>
      <c r="H14" s="42">
        <f>SUMIFS('Ciclos de Matrículas'!$AD$4:$AD$1341,'Ciclos de Matrículas'!$D$4:$D$1341,$D14,'Ciclos de Matrículas'!$AP$4:$AP$1341,H$2)</f>
        <v>0</v>
      </c>
      <c r="I14" s="43">
        <f>SUMIFS('Ciclos de Matrículas'!$AD$4:$AD$1341,'Ciclos de Matrículas'!$D$4:$D$1341,$D14,'Ciclos de Matrículas'!$AP$4:$AP$1341,I$2)</f>
        <v>0</v>
      </c>
      <c r="J14" s="43">
        <f t="shared" si="1"/>
        <v>7497</v>
      </c>
      <c r="M14" s="50" t="str">
        <f t="shared" si="2"/>
        <v/>
      </c>
      <c r="N14" s="44">
        <f>SUMIFS('Ciclos de Matrículas'!$AO$4:$AO$1341,'Ciclos de Matrículas'!$D$4:$D$1341,$D14,'Ciclos de Matrículas'!$AP$4:$AP$1341,N$2)</f>
        <v>8198.2294428428504</v>
      </c>
      <c r="O14" s="44">
        <f>SUMIFS('Ciclos de Matrículas'!$AO$4:$AO$1341,'Ciclos de Matrículas'!$D$4:$D$1341,$D14,'Ciclos de Matrículas'!$AP$4:$AP$1341,O$2)</f>
        <v>2080.5307624253523</v>
      </c>
      <c r="P14" s="44">
        <f>SUMIFS('Ciclos de Matrículas'!$AO$4:$AO$1341,'Ciclos de Matrículas'!$D$4:$D$1341,$D14,'Ciclos de Matrículas'!$AP$4:$AP$1341,P$2)</f>
        <v>0</v>
      </c>
      <c r="Q14" s="44">
        <f>SUMIFS('Ciclos de Matrículas'!$AO$4:$AO$1341,'Ciclos de Matrículas'!$D$4:$D$1341,$D14,'Ciclos de Matrículas'!$AP$4:$AP$1341,Q$2)</f>
        <v>0</v>
      </c>
    </row>
    <row r="15" spans="1:17" x14ac:dyDescent="0.25">
      <c r="A15" s="1" t="s">
        <v>27</v>
      </c>
      <c r="B15" s="1" t="s">
        <v>43</v>
      </c>
      <c r="C15" s="1" t="s">
        <v>29</v>
      </c>
      <c r="D15" s="1" t="s">
        <v>45</v>
      </c>
      <c r="E15" s="42">
        <f>SUMIFS('Ciclos de Matrículas'!$AD$4:$AD$1341,'Ciclos de Matrículas'!$D$4:$D$1341,$D15,'Ciclos de Matrículas'!$AP$4:$AP$1341,E$2)</f>
        <v>1235</v>
      </c>
      <c r="F15" s="42">
        <f>SUMIFS('Ciclos de Matrículas'!$AD$4:$AD$1341,'Ciclos de Matrículas'!$D$4:$D$1341,$D15,'Ciclos de Matrículas'!$AP$4:$AP$1341,F$2)</f>
        <v>0</v>
      </c>
      <c r="G15" s="42">
        <f>SUMIFS('Ciclos de Matrículas'!$AD$4:$AD$1341,'Ciclos de Matrículas'!$D$4:$D$1341,$D15,'Ciclos de Matrículas'!$AP$4:$AP$1341,G$2)</f>
        <v>747</v>
      </c>
      <c r="H15" s="42">
        <f>SUMIFS('Ciclos de Matrículas'!$AD$4:$AD$1341,'Ciclos de Matrículas'!$D$4:$D$1341,$D15,'Ciclos de Matrículas'!$AP$4:$AP$1341,H$2)</f>
        <v>0</v>
      </c>
      <c r="I15" s="43">
        <f>SUMIFS('Ciclos de Matrículas'!$AD$4:$AD$1341,'Ciclos de Matrículas'!$D$4:$D$1341,$D15,'Ciclos de Matrículas'!$AP$4:$AP$1341,I$2)</f>
        <v>159</v>
      </c>
      <c r="J15" s="43">
        <f t="shared" si="1"/>
        <v>2141</v>
      </c>
      <c r="M15" s="50" t="str">
        <f t="shared" si="2"/>
        <v/>
      </c>
      <c r="N15" s="44">
        <f>SUMIFS('Ciclos de Matrículas'!$AO$4:$AO$1341,'Ciclos de Matrículas'!$D$4:$D$1341,$D15,'Ciclos de Matrículas'!$AP$4:$AP$1341,N$2)</f>
        <v>1897.7728989574762</v>
      </c>
      <c r="O15" s="44">
        <f>SUMIFS('Ciclos de Matrículas'!$AO$4:$AO$1341,'Ciclos de Matrículas'!$D$4:$D$1341,$D15,'Ciclos de Matrículas'!$AP$4:$AP$1341,O$2)</f>
        <v>894.00755168853368</v>
      </c>
      <c r="P15" s="44">
        <f>SUMIFS('Ciclos de Matrículas'!$AO$4:$AO$1341,'Ciclos de Matrículas'!$D$4:$D$1341,$D15,'Ciclos de Matrículas'!$AP$4:$AP$1341,P$2)</f>
        <v>0</v>
      </c>
      <c r="Q15" s="44">
        <f>SUMIFS('Ciclos de Matrículas'!$AO$4:$AO$1341,'Ciclos de Matrículas'!$D$4:$D$1341,$D15,'Ciclos de Matrículas'!$AP$4:$AP$1341,Q$2)</f>
        <v>144.72920696324948</v>
      </c>
    </row>
    <row r="16" spans="1:17" x14ac:dyDescent="0.25">
      <c r="A16" s="1" t="s">
        <v>27</v>
      </c>
      <c r="B16" s="1" t="s">
        <v>46</v>
      </c>
      <c r="C16" s="1" t="s">
        <v>29</v>
      </c>
      <c r="D16" s="1" t="s">
        <v>47</v>
      </c>
      <c r="E16" s="42">
        <f>SUMIFS('Ciclos de Matrículas'!$AD$4:$AD$1341,'Ciclos de Matrículas'!$D$4:$D$1341,$D16,'Ciclos de Matrículas'!$AP$4:$AP$1341,E$2)</f>
        <v>513</v>
      </c>
      <c r="F16" s="42">
        <f>SUMIFS('Ciclos de Matrículas'!$AD$4:$AD$1341,'Ciclos de Matrículas'!$D$4:$D$1341,$D16,'Ciclos de Matrículas'!$AP$4:$AP$1341,F$2)</f>
        <v>0</v>
      </c>
      <c r="G16" s="42">
        <f>SUMIFS('Ciclos de Matrículas'!$AD$4:$AD$1341,'Ciclos de Matrículas'!$D$4:$D$1341,$D16,'Ciclos de Matrículas'!$AP$4:$AP$1341,G$2)</f>
        <v>0</v>
      </c>
      <c r="H16" s="42">
        <f>SUMIFS('Ciclos de Matrículas'!$AD$4:$AD$1341,'Ciclos de Matrículas'!$D$4:$D$1341,$D16,'Ciclos de Matrículas'!$AP$4:$AP$1341,H$2)</f>
        <v>0</v>
      </c>
      <c r="I16" s="43">
        <f>SUMIFS('Ciclos de Matrículas'!$AD$4:$AD$1341,'Ciclos de Matrículas'!$D$4:$D$1341,$D16,'Ciclos de Matrículas'!$AP$4:$AP$1341,I$2)</f>
        <v>76</v>
      </c>
      <c r="J16" s="43">
        <f t="shared" si="1"/>
        <v>589</v>
      </c>
      <c r="M16" s="50" t="str">
        <f t="shared" si="2"/>
        <v/>
      </c>
      <c r="N16" s="44">
        <f>SUMIFS('Ciclos de Matrículas'!$AO$4:$AO$1341,'Ciclos de Matrículas'!$D$4:$D$1341,$D16,'Ciclos de Matrículas'!$AP$4:$AP$1341,N$2)</f>
        <v>1406.8366808656667</v>
      </c>
      <c r="O16" s="44">
        <f>SUMIFS('Ciclos de Matrículas'!$AO$4:$AO$1341,'Ciclos de Matrículas'!$D$4:$D$1341,$D16,'Ciclos de Matrículas'!$AP$4:$AP$1341,O$2)</f>
        <v>0</v>
      </c>
      <c r="P16" s="44">
        <f>SUMIFS('Ciclos de Matrículas'!$AO$4:$AO$1341,'Ciclos de Matrículas'!$D$4:$D$1341,$D16,'Ciclos de Matrículas'!$AP$4:$AP$1341,P$2)</f>
        <v>0</v>
      </c>
      <c r="Q16" s="44">
        <f>SUMIFS('Ciclos de Matrículas'!$AO$4:$AO$1341,'Ciclos de Matrículas'!$D$4:$D$1341,$D16,'Ciclos de Matrículas'!$AP$4:$AP$1341,Q$2)</f>
        <v>102.61678200692042</v>
      </c>
    </row>
    <row r="17" spans="1:17" x14ac:dyDescent="0.25">
      <c r="A17" s="1" t="s">
        <v>27</v>
      </c>
      <c r="B17" s="1" t="s">
        <v>48</v>
      </c>
      <c r="C17" s="1" t="s">
        <v>29</v>
      </c>
      <c r="D17" s="1" t="s">
        <v>49</v>
      </c>
      <c r="E17" s="42">
        <f>SUMIFS('Ciclos de Matrículas'!$AD$4:$AD$1341,'Ciclos de Matrículas'!$D$4:$D$1341,$D17,'Ciclos de Matrículas'!$AP$4:$AP$1341,E$2)</f>
        <v>451</v>
      </c>
      <c r="F17" s="42">
        <f>SUMIFS('Ciclos de Matrículas'!$AD$4:$AD$1341,'Ciclos de Matrículas'!$D$4:$D$1341,$D17,'Ciclos de Matrículas'!$AP$4:$AP$1341,F$2)</f>
        <v>0</v>
      </c>
      <c r="G17" s="42">
        <f>SUMIFS('Ciclos de Matrículas'!$AD$4:$AD$1341,'Ciclos de Matrículas'!$D$4:$D$1341,$D17,'Ciclos de Matrículas'!$AP$4:$AP$1341,G$2)</f>
        <v>58</v>
      </c>
      <c r="H17" s="42">
        <f>SUMIFS('Ciclos de Matrículas'!$AD$4:$AD$1341,'Ciclos de Matrículas'!$D$4:$D$1341,$D17,'Ciclos de Matrículas'!$AP$4:$AP$1341,H$2)</f>
        <v>0</v>
      </c>
      <c r="I17" s="43">
        <f>SUMIFS('Ciclos de Matrículas'!$AD$4:$AD$1341,'Ciclos de Matrículas'!$D$4:$D$1341,$D17,'Ciclos de Matrículas'!$AP$4:$AP$1341,I$2)</f>
        <v>678</v>
      </c>
      <c r="J17" s="43">
        <f t="shared" si="1"/>
        <v>1187</v>
      </c>
      <c r="M17" s="50" t="str">
        <f t="shared" si="2"/>
        <v/>
      </c>
      <c r="N17" s="44">
        <f>SUMIFS('Ciclos de Matrículas'!$AO$4:$AO$1341,'Ciclos de Matrículas'!$D$4:$D$1341,$D17,'Ciclos de Matrículas'!$AP$4:$AP$1341,N$2)</f>
        <v>1468.9774941767585</v>
      </c>
      <c r="O17" s="44">
        <f>SUMIFS('Ciclos de Matrículas'!$AO$4:$AO$1341,'Ciclos de Matrículas'!$D$4:$D$1341,$D17,'Ciclos de Matrículas'!$AP$4:$AP$1341,O$2)</f>
        <v>57.623269896193776</v>
      </c>
      <c r="P17" s="44">
        <f>SUMIFS('Ciclos de Matrículas'!$AO$4:$AO$1341,'Ciclos de Matrículas'!$D$4:$D$1341,$D17,'Ciclos de Matrículas'!$AP$4:$AP$1341,P$2)</f>
        <v>0</v>
      </c>
      <c r="Q17" s="44">
        <f>SUMIFS('Ciclos de Matrículas'!$AO$4:$AO$1341,'Ciclos de Matrículas'!$D$4:$D$1341,$D17,'Ciclos de Matrículas'!$AP$4:$AP$1341,Q$2)</f>
        <v>216.97685434023109</v>
      </c>
    </row>
    <row r="18" spans="1:17" x14ac:dyDescent="0.25">
      <c r="A18" s="1" t="s">
        <v>27</v>
      </c>
      <c r="B18" s="1" t="s">
        <v>50</v>
      </c>
      <c r="C18" s="1" t="s">
        <v>29</v>
      </c>
      <c r="D18" s="1" t="s">
        <v>51</v>
      </c>
      <c r="E18" s="42">
        <f>SUMIFS('Ciclos de Matrículas'!$AD$4:$AD$1341,'Ciclos de Matrículas'!$D$4:$D$1341,$D18,'Ciclos de Matrículas'!$AP$4:$AP$1341,E$2)</f>
        <v>1046</v>
      </c>
      <c r="F18" s="42">
        <f>SUMIFS('Ciclos de Matrículas'!$AD$4:$AD$1341,'Ciclos de Matrículas'!$D$4:$D$1341,$D18,'Ciclos de Matrículas'!$AP$4:$AP$1341,F$2)</f>
        <v>0</v>
      </c>
      <c r="G18" s="42">
        <f>SUMIFS('Ciclos de Matrículas'!$AD$4:$AD$1341,'Ciclos de Matrículas'!$D$4:$D$1341,$D18,'Ciclos de Matrículas'!$AP$4:$AP$1341,G$2)</f>
        <v>0</v>
      </c>
      <c r="H18" s="42">
        <f>SUMIFS('Ciclos de Matrículas'!$AD$4:$AD$1341,'Ciclos de Matrículas'!$D$4:$D$1341,$D18,'Ciclos de Matrículas'!$AP$4:$AP$1341,H$2)</f>
        <v>0</v>
      </c>
      <c r="I18" s="43">
        <f>SUMIFS('Ciclos de Matrículas'!$AD$4:$AD$1341,'Ciclos de Matrículas'!$D$4:$D$1341,$D18,'Ciclos de Matrículas'!$AP$4:$AP$1341,I$2)</f>
        <v>61</v>
      </c>
      <c r="J18" s="43">
        <f t="shared" si="1"/>
        <v>1107</v>
      </c>
      <c r="K18" s="43">
        <v>80</v>
      </c>
      <c r="L18" s="43">
        <v>80</v>
      </c>
      <c r="M18" s="50">
        <f t="shared" si="2"/>
        <v>80</v>
      </c>
      <c r="N18" s="44">
        <f>SUMIFS('Ciclos de Matrículas'!$AO$4:$AO$1341,'Ciclos de Matrículas'!$D$4:$D$1341,$D18,'Ciclos de Matrículas'!$AP$4:$AP$1341,N$2)</f>
        <v>2254.4397380036762</v>
      </c>
      <c r="O18" s="44">
        <f>SUMIFS('Ciclos de Matrículas'!$AO$4:$AO$1341,'Ciclos de Matrículas'!$D$4:$D$1341,$D18,'Ciclos de Matrículas'!$AP$4:$AP$1341,O$2)</f>
        <v>0</v>
      </c>
      <c r="P18" s="44">
        <f>SUMIFS('Ciclos de Matrículas'!$AO$4:$AO$1341,'Ciclos de Matrículas'!$D$4:$D$1341,$D18,'Ciclos de Matrículas'!$AP$4:$AP$1341,P$2)</f>
        <v>0</v>
      </c>
      <c r="Q18" s="44">
        <f>SUMIFS('Ciclos de Matrículas'!$AO$4:$AO$1341,'Ciclos de Matrículas'!$D$4:$D$1341,$D18,'Ciclos de Matrículas'!$AP$4:$AP$1341,Q$2)</f>
        <v>60.780709342560556</v>
      </c>
    </row>
    <row r="19" spans="1:17" x14ac:dyDescent="0.25">
      <c r="A19" s="1" t="s">
        <v>27</v>
      </c>
      <c r="B19" s="1" t="s">
        <v>52</v>
      </c>
      <c r="C19" s="1" t="s">
        <v>29</v>
      </c>
      <c r="D19" s="1" t="s">
        <v>53</v>
      </c>
      <c r="E19" s="42">
        <f>SUMIFS('Ciclos de Matrículas'!$AD$4:$AD$1341,'Ciclos de Matrículas'!$D$4:$D$1341,$D19,'Ciclos de Matrículas'!$AP$4:$AP$1341,E$2)</f>
        <v>1171</v>
      </c>
      <c r="F19" s="42">
        <f>SUMIFS('Ciclos de Matrículas'!$AD$4:$AD$1341,'Ciclos de Matrículas'!$D$4:$D$1341,$D19,'Ciclos de Matrículas'!$AP$4:$AP$1341,F$2)</f>
        <v>0</v>
      </c>
      <c r="G19" s="42">
        <f>SUMIFS('Ciclos de Matrículas'!$AD$4:$AD$1341,'Ciclos de Matrículas'!$D$4:$D$1341,$D19,'Ciclos de Matrículas'!$AP$4:$AP$1341,G$2)</f>
        <v>0</v>
      </c>
      <c r="H19" s="42">
        <f>SUMIFS('Ciclos de Matrículas'!$AD$4:$AD$1341,'Ciclos de Matrículas'!$D$4:$D$1341,$D19,'Ciclos de Matrículas'!$AP$4:$AP$1341,H$2)</f>
        <v>0</v>
      </c>
      <c r="I19" s="43">
        <f>SUMIFS('Ciclos de Matrículas'!$AD$4:$AD$1341,'Ciclos de Matrículas'!$D$4:$D$1341,$D19,'Ciclos de Matrículas'!$AP$4:$AP$1341,I$2)</f>
        <v>88</v>
      </c>
      <c r="J19" s="43">
        <f t="shared" si="1"/>
        <v>1259</v>
      </c>
      <c r="M19" s="50" t="str">
        <f t="shared" si="2"/>
        <v/>
      </c>
      <c r="N19" s="44">
        <f>SUMIFS('Ciclos de Matrículas'!$AO$4:$AO$1341,'Ciclos de Matrículas'!$D$4:$D$1341,$D19,'Ciclos de Matrículas'!$AP$4:$AP$1341,N$2)</f>
        <v>1826.5500482835223</v>
      </c>
      <c r="O19" s="44">
        <f>SUMIFS('Ciclos de Matrículas'!$AO$4:$AO$1341,'Ciclos de Matrículas'!$D$4:$D$1341,$D19,'Ciclos de Matrículas'!$AP$4:$AP$1341,O$2)</f>
        <v>0</v>
      </c>
      <c r="P19" s="44">
        <f>SUMIFS('Ciclos de Matrículas'!$AO$4:$AO$1341,'Ciclos de Matrículas'!$D$4:$D$1341,$D19,'Ciclos de Matrículas'!$AP$4:$AP$1341,P$2)</f>
        <v>0</v>
      </c>
      <c r="Q19" s="44">
        <f>SUMIFS('Ciclos de Matrículas'!$AO$4:$AO$1341,'Ciclos de Matrículas'!$D$4:$D$1341,$D19,'Ciclos de Matrículas'!$AP$4:$AP$1341,Q$2)</f>
        <v>87.316810344827587</v>
      </c>
    </row>
    <row r="20" spans="1:17" x14ac:dyDescent="0.25">
      <c r="A20" s="1" t="s">
        <v>27</v>
      </c>
      <c r="B20" s="1" t="s">
        <v>54</v>
      </c>
      <c r="C20" s="1" t="s">
        <v>29</v>
      </c>
      <c r="D20" s="1" t="s">
        <v>55</v>
      </c>
      <c r="E20" s="42">
        <f>SUMIFS('Ciclos de Matrículas'!$AD$4:$AD$1341,'Ciclos de Matrículas'!$D$4:$D$1341,$D20,'Ciclos de Matrículas'!$AP$4:$AP$1341,E$2)</f>
        <v>1442</v>
      </c>
      <c r="F20" s="42">
        <f>SUMIFS('Ciclos de Matrículas'!$AD$4:$AD$1341,'Ciclos de Matrículas'!$D$4:$D$1341,$D20,'Ciclos de Matrículas'!$AP$4:$AP$1341,F$2)</f>
        <v>0</v>
      </c>
      <c r="G20" s="42">
        <f>SUMIFS('Ciclos de Matrículas'!$AD$4:$AD$1341,'Ciclos de Matrículas'!$D$4:$D$1341,$D20,'Ciclos de Matrículas'!$AP$4:$AP$1341,G$2)</f>
        <v>0</v>
      </c>
      <c r="H20" s="42">
        <f>SUMIFS('Ciclos de Matrículas'!$AD$4:$AD$1341,'Ciclos de Matrículas'!$D$4:$D$1341,$D20,'Ciclos de Matrículas'!$AP$4:$AP$1341,H$2)</f>
        <v>0</v>
      </c>
      <c r="I20" s="43">
        <f>SUMIFS('Ciclos de Matrículas'!$AD$4:$AD$1341,'Ciclos de Matrículas'!$D$4:$D$1341,$D20,'Ciclos de Matrículas'!$AP$4:$AP$1341,I$2)</f>
        <v>50</v>
      </c>
      <c r="J20" s="43">
        <f t="shared" si="1"/>
        <v>1492</v>
      </c>
      <c r="M20" s="50" t="str">
        <f t="shared" si="2"/>
        <v/>
      </c>
      <c r="N20" s="44">
        <f>SUMIFS('Ciclos de Matrículas'!$AO$4:$AO$1341,'Ciclos de Matrículas'!$D$4:$D$1341,$D20,'Ciclos de Matrículas'!$AP$4:$AP$1341,N$2)</f>
        <v>2709.8569730197851</v>
      </c>
      <c r="O20" s="44">
        <f>SUMIFS('Ciclos de Matrículas'!$AO$4:$AO$1341,'Ciclos de Matrículas'!$D$4:$D$1341,$D20,'Ciclos de Matrículas'!$AP$4:$AP$1341,O$2)</f>
        <v>0</v>
      </c>
      <c r="P20" s="44">
        <f>SUMIFS('Ciclos de Matrículas'!$AO$4:$AO$1341,'Ciclos de Matrículas'!$D$4:$D$1341,$D20,'Ciclos de Matrículas'!$AP$4:$AP$1341,P$2)</f>
        <v>0</v>
      </c>
      <c r="Q20" s="44">
        <f>SUMIFS('Ciclos de Matrículas'!$AO$4:$AO$1341,'Ciclos de Matrículas'!$D$4:$D$1341,$D20,'Ciclos de Matrículas'!$AP$4:$AP$1341,Q$2)</f>
        <v>50.519031141868517</v>
      </c>
    </row>
    <row r="21" spans="1:17" x14ac:dyDescent="0.25">
      <c r="A21" s="1" t="s">
        <v>27</v>
      </c>
      <c r="B21" s="1" t="s">
        <v>56</v>
      </c>
      <c r="C21" s="1" t="s">
        <v>29</v>
      </c>
      <c r="D21" s="1" t="s">
        <v>57</v>
      </c>
      <c r="E21" s="42">
        <f>SUMIFS('Ciclos de Matrículas'!$AD$4:$AD$1341,'Ciclos de Matrículas'!$D$4:$D$1341,$D21,'Ciclos de Matrículas'!$AP$4:$AP$1341,E$2)</f>
        <v>1040</v>
      </c>
      <c r="F21" s="42">
        <f>SUMIFS('Ciclos de Matrículas'!$AD$4:$AD$1341,'Ciclos de Matrículas'!$D$4:$D$1341,$D21,'Ciclos de Matrículas'!$AP$4:$AP$1341,F$2)</f>
        <v>0</v>
      </c>
      <c r="G21" s="42">
        <f>SUMIFS('Ciclos de Matrículas'!$AD$4:$AD$1341,'Ciclos de Matrículas'!$D$4:$D$1341,$D21,'Ciclos de Matrículas'!$AP$4:$AP$1341,G$2)</f>
        <v>0</v>
      </c>
      <c r="H21" s="42">
        <f>SUMIFS('Ciclos de Matrículas'!$AD$4:$AD$1341,'Ciclos de Matrículas'!$D$4:$D$1341,$D21,'Ciclos de Matrículas'!$AP$4:$AP$1341,H$2)</f>
        <v>0</v>
      </c>
      <c r="I21" s="43">
        <f>SUMIFS('Ciclos de Matrículas'!$AD$4:$AD$1341,'Ciclos de Matrículas'!$D$4:$D$1341,$D21,'Ciclos de Matrículas'!$AP$4:$AP$1341,I$2)</f>
        <v>213</v>
      </c>
      <c r="J21" s="43">
        <f t="shared" si="1"/>
        <v>1253</v>
      </c>
      <c r="M21" s="50" t="str">
        <f t="shared" si="2"/>
        <v/>
      </c>
      <c r="N21" s="44">
        <f>SUMIFS('Ciclos de Matrículas'!$AO$4:$AO$1341,'Ciclos de Matrículas'!$D$4:$D$1341,$D21,'Ciclos de Matrículas'!$AP$4:$AP$1341,N$2)</f>
        <v>1761.3242594109518</v>
      </c>
      <c r="O21" s="44">
        <f>SUMIFS('Ciclos de Matrículas'!$AO$4:$AO$1341,'Ciclos de Matrículas'!$D$4:$D$1341,$D21,'Ciclos de Matrículas'!$AP$4:$AP$1341,O$2)</f>
        <v>0</v>
      </c>
      <c r="P21" s="44">
        <f>SUMIFS('Ciclos de Matrículas'!$AO$4:$AO$1341,'Ciclos de Matrículas'!$D$4:$D$1341,$D21,'Ciclos de Matrículas'!$AP$4:$AP$1341,P$2)</f>
        <v>0</v>
      </c>
      <c r="Q21" s="44">
        <f>SUMIFS('Ciclos de Matrículas'!$AO$4:$AO$1341,'Ciclos de Matrículas'!$D$4:$D$1341,$D21,'Ciclos de Matrículas'!$AP$4:$AP$1341,Q$2)</f>
        <v>222.993902093142</v>
      </c>
    </row>
    <row r="22" spans="1:17" x14ac:dyDescent="0.25">
      <c r="A22" s="1" t="s">
        <v>27</v>
      </c>
      <c r="B22" s="1" t="s">
        <v>58</v>
      </c>
      <c r="C22" s="1" t="s">
        <v>29</v>
      </c>
      <c r="D22" s="1" t="s">
        <v>59</v>
      </c>
      <c r="E22" s="42">
        <f>SUMIFS('Ciclos de Matrículas'!$AD$4:$AD$1341,'Ciclos de Matrículas'!$D$4:$D$1341,$D22,'Ciclos de Matrículas'!$AP$4:$AP$1341,E$2)</f>
        <v>1906</v>
      </c>
      <c r="F22" s="42">
        <f>SUMIFS('Ciclos de Matrículas'!$AD$4:$AD$1341,'Ciclos de Matrículas'!$D$4:$D$1341,$D22,'Ciclos de Matrículas'!$AP$4:$AP$1341,F$2)</f>
        <v>0</v>
      </c>
      <c r="G22" s="42">
        <f>SUMIFS('Ciclos de Matrículas'!$AD$4:$AD$1341,'Ciclos de Matrículas'!$D$4:$D$1341,$D22,'Ciclos de Matrículas'!$AP$4:$AP$1341,G$2)</f>
        <v>42</v>
      </c>
      <c r="H22" s="42">
        <f>SUMIFS('Ciclos de Matrículas'!$AD$4:$AD$1341,'Ciclos de Matrículas'!$D$4:$D$1341,$D22,'Ciclos de Matrículas'!$AP$4:$AP$1341,H$2)</f>
        <v>0</v>
      </c>
      <c r="I22" s="43">
        <f>SUMIFS('Ciclos de Matrículas'!$AD$4:$AD$1341,'Ciclos de Matrículas'!$D$4:$D$1341,$D22,'Ciclos de Matrículas'!$AP$4:$AP$1341,I$2)</f>
        <v>0</v>
      </c>
      <c r="J22" s="43">
        <f t="shared" si="1"/>
        <v>1948</v>
      </c>
      <c r="K22" s="43">
        <v>448</v>
      </c>
      <c r="L22" s="43">
        <v>427</v>
      </c>
      <c r="M22" s="50">
        <f t="shared" si="2"/>
        <v>437.5</v>
      </c>
      <c r="N22" s="44">
        <f>SUMIFS('Ciclos de Matrículas'!$AO$4:$AO$1341,'Ciclos de Matrículas'!$D$4:$D$1341,$D22,'Ciclos de Matrículas'!$AP$4:$AP$1341,N$2)</f>
        <v>5336.6692632343247</v>
      </c>
      <c r="O22" s="44">
        <f>SUMIFS('Ciclos de Matrículas'!$AO$4:$AO$1341,'Ciclos de Matrículas'!$D$4:$D$1341,$D22,'Ciclos de Matrículas'!$AP$4:$AP$1341,O$2)</f>
        <v>41.691810344827587</v>
      </c>
      <c r="P22" s="44">
        <f>SUMIFS('Ciclos de Matrículas'!$AO$4:$AO$1341,'Ciclos de Matrículas'!$D$4:$D$1341,$D22,'Ciclos de Matrículas'!$AP$4:$AP$1341,P$2)</f>
        <v>0</v>
      </c>
      <c r="Q22" s="44">
        <f>SUMIFS('Ciclos de Matrículas'!$AO$4:$AO$1341,'Ciclos de Matrículas'!$D$4:$D$1341,$D22,'Ciclos de Matrículas'!$AP$4:$AP$1341,Q$2)</f>
        <v>0</v>
      </c>
    </row>
    <row r="23" spans="1:17" x14ac:dyDescent="0.25">
      <c r="A23" s="1" t="s">
        <v>27</v>
      </c>
      <c r="B23" s="1" t="s">
        <v>60</v>
      </c>
      <c r="C23" s="1" t="s">
        <v>29</v>
      </c>
      <c r="D23" s="1" t="s">
        <v>61</v>
      </c>
      <c r="E23" s="42">
        <f>SUMIFS('Ciclos de Matrículas'!$AD$4:$AD$1341,'Ciclos de Matrículas'!$D$4:$D$1341,$D23,'Ciclos de Matrículas'!$AP$4:$AP$1341,E$2)</f>
        <v>516</v>
      </c>
      <c r="F23" s="42">
        <f>SUMIFS('Ciclos de Matrículas'!$AD$4:$AD$1341,'Ciclos de Matrículas'!$D$4:$D$1341,$D23,'Ciclos de Matrículas'!$AP$4:$AP$1341,F$2)</f>
        <v>0</v>
      </c>
      <c r="G23" s="42">
        <f>SUMIFS('Ciclos de Matrículas'!$AD$4:$AD$1341,'Ciclos de Matrículas'!$D$4:$D$1341,$D23,'Ciclos de Matrículas'!$AP$4:$AP$1341,G$2)</f>
        <v>246</v>
      </c>
      <c r="H23" s="42">
        <f>SUMIFS('Ciclos de Matrículas'!$AD$4:$AD$1341,'Ciclos de Matrículas'!$D$4:$D$1341,$D23,'Ciclos de Matrículas'!$AP$4:$AP$1341,H$2)</f>
        <v>0</v>
      </c>
      <c r="I23" s="43">
        <f>SUMIFS('Ciclos de Matrículas'!$AD$4:$AD$1341,'Ciclos de Matrículas'!$D$4:$D$1341,$D23,'Ciclos de Matrículas'!$AP$4:$AP$1341,I$2)</f>
        <v>144</v>
      </c>
      <c r="J23" s="43">
        <f t="shared" si="1"/>
        <v>906</v>
      </c>
      <c r="M23" s="50" t="str">
        <f t="shared" si="2"/>
        <v/>
      </c>
      <c r="N23" s="44">
        <f>SUMIFS('Ciclos de Matrículas'!$AO$4:$AO$1341,'Ciclos de Matrículas'!$D$4:$D$1341,$D23,'Ciclos de Matrículas'!$AP$4:$AP$1341,N$2)</f>
        <v>896.01573302042823</v>
      </c>
      <c r="O23" s="44">
        <f>SUMIFS('Ciclos de Matrículas'!$AO$4:$AO$1341,'Ciclos de Matrículas'!$D$4:$D$1341,$D23,'Ciclos de Matrículas'!$AP$4:$AP$1341,O$2)</f>
        <v>37.853658536585364</v>
      </c>
      <c r="P23" s="44">
        <f>SUMIFS('Ciclos de Matrículas'!$AO$4:$AO$1341,'Ciclos de Matrículas'!$D$4:$D$1341,$D23,'Ciclos de Matrículas'!$AP$4:$AP$1341,P$2)</f>
        <v>0</v>
      </c>
      <c r="Q23" s="44">
        <f>SUMIFS('Ciclos de Matrículas'!$AO$4:$AO$1341,'Ciclos de Matrículas'!$D$4:$D$1341,$D23,'Ciclos de Matrículas'!$AP$4:$AP$1341,Q$2)</f>
        <v>133.72378337349778</v>
      </c>
    </row>
    <row r="24" spans="1:17" x14ac:dyDescent="0.25">
      <c r="A24" s="1" t="s">
        <v>27</v>
      </c>
      <c r="B24" s="1" t="s">
        <v>62</v>
      </c>
      <c r="C24" s="1" t="s">
        <v>29</v>
      </c>
      <c r="D24" s="1" t="s">
        <v>63</v>
      </c>
      <c r="E24" s="42">
        <f>SUMIFS('Ciclos de Matrículas'!$AD$4:$AD$1341,'Ciclos de Matrículas'!$D$4:$D$1341,$D24,'Ciclos de Matrículas'!$AP$4:$AP$1341,E$2)</f>
        <v>953</v>
      </c>
      <c r="F24" s="42">
        <f>SUMIFS('Ciclos de Matrículas'!$AD$4:$AD$1341,'Ciclos de Matrículas'!$D$4:$D$1341,$D24,'Ciclos de Matrículas'!$AP$4:$AP$1341,F$2)</f>
        <v>0</v>
      </c>
      <c r="G24" s="42">
        <f>SUMIFS('Ciclos de Matrículas'!$AD$4:$AD$1341,'Ciclos de Matrículas'!$D$4:$D$1341,$D24,'Ciclos de Matrículas'!$AP$4:$AP$1341,G$2)</f>
        <v>49</v>
      </c>
      <c r="H24" s="42">
        <f>SUMIFS('Ciclos de Matrículas'!$AD$4:$AD$1341,'Ciclos de Matrículas'!$D$4:$D$1341,$D24,'Ciclos de Matrículas'!$AP$4:$AP$1341,H$2)</f>
        <v>0</v>
      </c>
      <c r="I24" s="43">
        <f>SUMIFS('Ciclos de Matrículas'!$AD$4:$AD$1341,'Ciclos de Matrículas'!$D$4:$D$1341,$D24,'Ciclos de Matrículas'!$AP$4:$AP$1341,I$2)</f>
        <v>73</v>
      </c>
      <c r="J24" s="43">
        <f t="shared" si="1"/>
        <v>1075</v>
      </c>
      <c r="M24" s="50" t="str">
        <f t="shared" si="2"/>
        <v/>
      </c>
      <c r="N24" s="44">
        <f>SUMIFS('Ciclos de Matrículas'!$AO$4:$AO$1341,'Ciclos de Matrículas'!$D$4:$D$1341,$D24,'Ciclos de Matrículas'!$AP$4:$AP$1341,N$2)</f>
        <v>2667.8630476025487</v>
      </c>
      <c r="O24" s="44">
        <f>SUMIFS('Ciclos de Matrículas'!$AO$4:$AO$1341,'Ciclos de Matrículas'!$D$4:$D$1341,$D24,'Ciclos de Matrículas'!$AP$4:$AP$1341,O$2)</f>
        <v>48.940311418685127</v>
      </c>
      <c r="P24" s="44">
        <f>SUMIFS('Ciclos de Matrículas'!$AO$4:$AO$1341,'Ciclos de Matrículas'!$D$4:$D$1341,$D24,'Ciclos de Matrículas'!$AP$4:$AP$1341,P$2)</f>
        <v>0</v>
      </c>
      <c r="Q24" s="44">
        <f>SUMIFS('Ciclos de Matrículas'!$AO$4:$AO$1341,'Ciclos de Matrículas'!$D$4:$D$1341,$D24,'Ciclos de Matrículas'!$AP$4:$AP$1341,Q$2)</f>
        <v>5.5</v>
      </c>
    </row>
    <row r="25" spans="1:17" x14ac:dyDescent="0.25">
      <c r="A25" s="1" t="s">
        <v>27</v>
      </c>
      <c r="B25" s="1" t="s">
        <v>64</v>
      </c>
      <c r="C25" s="1" t="s">
        <v>29</v>
      </c>
      <c r="D25" s="1" t="s">
        <v>65</v>
      </c>
      <c r="E25" s="42">
        <f>SUMIFS('Ciclos de Matrículas'!$AD$4:$AD$1341,'Ciclos de Matrículas'!$D$4:$D$1341,$D25,'Ciclos de Matrículas'!$AP$4:$AP$1341,E$2)</f>
        <v>527</v>
      </c>
      <c r="F25" s="42">
        <f>SUMIFS('Ciclos de Matrículas'!$AD$4:$AD$1341,'Ciclos de Matrículas'!$D$4:$D$1341,$D25,'Ciclos de Matrículas'!$AP$4:$AP$1341,F$2)</f>
        <v>0</v>
      </c>
      <c r="G25" s="42">
        <f>SUMIFS('Ciclos de Matrículas'!$AD$4:$AD$1341,'Ciclos de Matrículas'!$D$4:$D$1341,$D25,'Ciclos de Matrículas'!$AP$4:$AP$1341,G$2)</f>
        <v>0</v>
      </c>
      <c r="H25" s="42">
        <f>SUMIFS('Ciclos de Matrículas'!$AD$4:$AD$1341,'Ciclos de Matrículas'!$D$4:$D$1341,$D25,'Ciclos de Matrículas'!$AP$4:$AP$1341,H$2)</f>
        <v>0</v>
      </c>
      <c r="I25" s="43">
        <f>SUMIFS('Ciclos de Matrículas'!$AD$4:$AD$1341,'Ciclos de Matrículas'!$D$4:$D$1341,$D25,'Ciclos de Matrículas'!$AP$4:$AP$1341,I$2)</f>
        <v>65</v>
      </c>
      <c r="J25" s="43">
        <f t="shared" si="1"/>
        <v>592</v>
      </c>
      <c r="M25" s="50" t="str">
        <f t="shared" si="2"/>
        <v/>
      </c>
      <c r="N25" s="44">
        <f>SUMIFS('Ciclos de Matrículas'!$AO$4:$AO$1341,'Ciclos de Matrículas'!$D$4:$D$1341,$D25,'Ciclos de Matrículas'!$AP$4:$AP$1341,N$2)</f>
        <v>674.83889474106684</v>
      </c>
      <c r="O25" s="44">
        <f>SUMIFS('Ciclos de Matrículas'!$AO$4:$AO$1341,'Ciclos de Matrículas'!$D$4:$D$1341,$D25,'Ciclos de Matrículas'!$AP$4:$AP$1341,O$2)</f>
        <v>0</v>
      </c>
      <c r="P25" s="44">
        <f>SUMIFS('Ciclos de Matrículas'!$AO$4:$AO$1341,'Ciclos de Matrículas'!$D$4:$D$1341,$D25,'Ciclos de Matrículas'!$AP$4:$AP$1341,P$2)</f>
        <v>0</v>
      </c>
      <c r="Q25" s="44">
        <f>SUMIFS('Ciclos de Matrículas'!$AO$4:$AO$1341,'Ciclos de Matrículas'!$D$4:$D$1341,$D25,'Ciclos de Matrículas'!$AP$4:$AP$1341,Q$2)</f>
        <v>59.303675048355885</v>
      </c>
    </row>
    <row r="26" spans="1:17" x14ac:dyDescent="0.25">
      <c r="A26" s="1" t="s">
        <v>27</v>
      </c>
      <c r="B26" s="1" t="s">
        <v>66</v>
      </c>
      <c r="C26" s="1" t="s">
        <v>29</v>
      </c>
      <c r="D26" s="1" t="s">
        <v>67</v>
      </c>
      <c r="E26" s="42">
        <f>SUMIFS('Ciclos de Matrículas'!$AD$4:$AD$1341,'Ciclos de Matrículas'!$D$4:$D$1341,$D26,'Ciclos de Matrículas'!$AP$4:$AP$1341,E$2)</f>
        <v>1170</v>
      </c>
      <c r="F26" s="42">
        <f>SUMIFS('Ciclos de Matrículas'!$AD$4:$AD$1341,'Ciclos de Matrículas'!$D$4:$D$1341,$D26,'Ciclos de Matrículas'!$AP$4:$AP$1341,F$2)</f>
        <v>0</v>
      </c>
      <c r="G26" s="42">
        <f>SUMIFS('Ciclos de Matrículas'!$AD$4:$AD$1341,'Ciclos de Matrículas'!$D$4:$D$1341,$D26,'Ciclos de Matrículas'!$AP$4:$AP$1341,G$2)</f>
        <v>300</v>
      </c>
      <c r="H26" s="42">
        <f>SUMIFS('Ciclos de Matrículas'!$AD$4:$AD$1341,'Ciclos de Matrículas'!$D$4:$D$1341,$D26,'Ciclos de Matrículas'!$AP$4:$AP$1341,H$2)</f>
        <v>0</v>
      </c>
      <c r="I26" s="43">
        <f>SUMIFS('Ciclos de Matrículas'!$AD$4:$AD$1341,'Ciclos de Matrículas'!$D$4:$D$1341,$D26,'Ciclos de Matrículas'!$AP$4:$AP$1341,I$2)</f>
        <v>166</v>
      </c>
      <c r="J26" s="43">
        <f t="shared" si="1"/>
        <v>1636</v>
      </c>
      <c r="M26" s="50" t="str">
        <f t="shared" si="2"/>
        <v/>
      </c>
      <c r="N26" s="44">
        <f>SUMIFS('Ciclos de Matrículas'!$AO$4:$AO$1341,'Ciclos de Matrículas'!$D$4:$D$1341,$D26,'Ciclos de Matrículas'!$AP$4:$AP$1341,N$2)</f>
        <v>1487.2633209945234</v>
      </c>
      <c r="O26" s="44">
        <f>SUMIFS('Ciclos de Matrículas'!$AO$4:$AO$1341,'Ciclos de Matrículas'!$D$4:$D$1341,$D26,'Ciclos de Matrículas'!$AP$4:$AP$1341,O$2)</f>
        <v>16.861319056192553</v>
      </c>
      <c r="P26" s="44">
        <f>SUMIFS('Ciclos de Matrículas'!$AO$4:$AO$1341,'Ciclos de Matrículas'!$D$4:$D$1341,$D26,'Ciclos de Matrículas'!$AP$4:$AP$1341,P$2)</f>
        <v>0</v>
      </c>
      <c r="Q26" s="44">
        <f>SUMIFS('Ciclos de Matrículas'!$AO$4:$AO$1341,'Ciclos de Matrículas'!$D$4:$D$1341,$D26,'Ciclos de Matrículas'!$AP$4:$AP$1341,Q$2)</f>
        <v>162.54541896002533</v>
      </c>
    </row>
  </sheetData>
  <autoFilter ref="C5:D5" xr:uid="{00000000-0009-0000-0000-000000000000}"/>
  <mergeCells count="5">
    <mergeCell ref="N3:Q3"/>
    <mergeCell ref="A3:D3"/>
    <mergeCell ref="E3:J3"/>
    <mergeCell ref="K4:M4"/>
    <mergeCell ref="A4:B4"/>
  </mergeCells>
  <hyperlinks>
    <hyperlink ref="A3" r:id="rId1" xr:uid="{00000000-0004-0000-0000-000000000000}"/>
    <hyperlink ref="B3" r:id="rId2" display="https://docs.google.com/presentation/d/1bgShZxUahWYIJ99CRVePYm8gp9jRlyI0cbT-alw-YwA/edit?usp=sharing" xr:uid="{00000000-0004-0000-0000-000001000000}"/>
    <hyperlink ref="C3" r:id="rId3" display="https://docs.google.com/presentation/d/1bgShZxUahWYIJ99CRVePYm8gp9jRlyI0cbT-alw-YwA/edit?usp=sharing" xr:uid="{00000000-0004-0000-0000-000002000000}"/>
    <hyperlink ref="D3" r:id="rId4" display="https://docs.google.com/presentation/d/1bgShZxUahWYIJ99CRVePYm8gp9jRlyI0cbT-alw-YwA/edit?usp=sharing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341"/>
  <sheetViews>
    <sheetView tabSelected="1" topLeftCell="AI1305" workbookViewId="0">
      <selection activeCell="AO19" sqref="AO19"/>
    </sheetView>
  </sheetViews>
  <sheetFormatPr defaultColWidth="0" defaultRowHeight="15" x14ac:dyDescent="0.25"/>
  <cols>
    <col min="1" max="1" width="4" style="1" customWidth="1"/>
    <col min="2" max="3" width="30.7109375" style="1" customWidth="1"/>
    <col min="4" max="4" width="80.7109375" style="1" customWidth="1"/>
    <col min="5" max="5" width="21" style="1" customWidth="1"/>
    <col min="6" max="7" width="15.28515625" style="1" customWidth="1"/>
    <col min="8" max="8" width="50.7109375" style="1" customWidth="1"/>
    <col min="9" max="9" width="30.7109375" style="1" customWidth="1"/>
    <col min="10" max="12" width="15.7109375" style="1" customWidth="1"/>
    <col min="13" max="13" width="69.28515625" style="1" customWidth="1"/>
    <col min="14" max="16" width="15.7109375" style="5" customWidth="1"/>
    <col min="17" max="20" width="15.7109375" style="1" customWidth="1"/>
    <col min="21" max="21" width="19.7109375" style="1" customWidth="1"/>
    <col min="22" max="22" width="20.7109375" style="1" customWidth="1"/>
    <col min="23" max="25" width="20.7109375" style="4" customWidth="1"/>
    <col min="26" max="26" width="2.5703125" style="4" customWidth="1"/>
    <col min="27" max="27" width="20.7109375" style="4" customWidth="1"/>
    <col min="28" max="29" width="20.7109375" style="5" customWidth="1"/>
    <col min="30" max="30" width="20.7109375" style="1" customWidth="1"/>
    <col min="31" max="35" width="35.7109375" style="1" customWidth="1"/>
    <col min="36" max="40" width="35.7109375" style="3" customWidth="1"/>
    <col min="41" max="41" width="20.7109375" style="3" customWidth="1"/>
    <col min="42" max="42" width="24.7109375" style="1" customWidth="1"/>
    <col min="43" max="43" width="1.7109375" style="1" customWidth="1"/>
    <col min="44" max="44" width="9.28515625" style="1" hidden="1" customWidth="1"/>
    <col min="45" max="45" width="35.28515625" style="1" hidden="1" customWidth="1"/>
    <col min="46" max="46" width="10.7109375" style="1" hidden="1" customWidth="1"/>
    <col min="47" max="47" width="54.7109375" style="1" hidden="1" customWidth="1"/>
    <col min="48" max="48" width="10.7109375" style="1" hidden="1" customWidth="1"/>
    <col min="49" max="49" width="9.28515625" style="1" hidden="1" customWidth="1"/>
  </cols>
  <sheetData>
    <row r="1" spans="1:48" ht="46.5" hidden="1" customHeight="1" x14ac:dyDescent="0.25">
      <c r="N1" s="1"/>
      <c r="O1" s="1"/>
      <c r="P1" s="1"/>
      <c r="AJ1" s="6"/>
      <c r="AK1" s="6"/>
      <c r="AL1" s="6"/>
      <c r="AM1" s="6"/>
      <c r="AN1" s="6"/>
    </row>
    <row r="2" spans="1:48" ht="40.5" hidden="1" customHeight="1" x14ac:dyDescent="0.25">
      <c r="A2" s="69" t="s">
        <v>68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</row>
    <row r="3" spans="1:48" s="12" customFormat="1" ht="83.45" customHeight="1" x14ac:dyDescent="0.2">
      <c r="A3" s="13" t="s">
        <v>13</v>
      </c>
      <c r="B3" s="14" t="s">
        <v>14</v>
      </c>
      <c r="C3" s="24" t="s">
        <v>15</v>
      </c>
      <c r="D3" s="24" t="s">
        <v>16</v>
      </c>
      <c r="E3" s="14" t="s">
        <v>69</v>
      </c>
      <c r="F3" s="15" t="s">
        <v>70</v>
      </c>
      <c r="G3" s="14" t="s">
        <v>71</v>
      </c>
      <c r="H3" s="15" t="s">
        <v>72</v>
      </c>
      <c r="I3" s="15" t="s">
        <v>73</v>
      </c>
      <c r="J3" s="15" t="s">
        <v>74</v>
      </c>
      <c r="K3" s="15" t="s">
        <v>75</v>
      </c>
      <c r="L3" s="14" t="s">
        <v>76</v>
      </c>
      <c r="M3" s="14" t="s">
        <v>77</v>
      </c>
      <c r="N3" s="15" t="s">
        <v>78</v>
      </c>
      <c r="O3" s="15" t="s">
        <v>79</v>
      </c>
      <c r="P3" s="15" t="s">
        <v>80</v>
      </c>
      <c r="Q3" s="14" t="s">
        <v>81</v>
      </c>
      <c r="R3" s="15" t="s">
        <v>82</v>
      </c>
      <c r="S3" s="15" t="s">
        <v>83</v>
      </c>
      <c r="T3" s="16" t="s">
        <v>84</v>
      </c>
      <c r="U3" s="21" t="s">
        <v>85</v>
      </c>
      <c r="V3" s="17" t="s">
        <v>86</v>
      </c>
      <c r="W3" s="18" t="s">
        <v>87</v>
      </c>
      <c r="X3" s="15" t="s">
        <v>88</v>
      </c>
      <c r="Y3" s="19" t="s">
        <v>89</v>
      </c>
      <c r="Z3" s="20"/>
      <c r="AA3" s="19" t="s">
        <v>90</v>
      </c>
      <c r="AB3" s="14" t="s">
        <v>91</v>
      </c>
      <c r="AC3" s="15" t="s">
        <v>92</v>
      </c>
      <c r="AD3" s="23" t="s">
        <v>93</v>
      </c>
      <c r="AE3" s="19" t="s">
        <v>94</v>
      </c>
      <c r="AF3" s="18" t="s">
        <v>95</v>
      </c>
      <c r="AG3" s="18" t="s">
        <v>96</v>
      </c>
      <c r="AH3" s="19" t="s">
        <v>97</v>
      </c>
      <c r="AI3" s="19" t="s">
        <v>98</v>
      </c>
      <c r="AJ3" s="19" t="s">
        <v>99</v>
      </c>
      <c r="AK3" s="19" t="s">
        <v>100</v>
      </c>
      <c r="AL3" s="19" t="s">
        <v>101</v>
      </c>
      <c r="AM3" s="19" t="s">
        <v>102</v>
      </c>
      <c r="AN3" s="19" t="s">
        <v>103</v>
      </c>
      <c r="AO3" s="22" t="s">
        <v>104</v>
      </c>
      <c r="AP3" s="19" t="s">
        <v>105</v>
      </c>
    </row>
    <row r="4" spans="1:48" ht="15" customHeight="1" x14ac:dyDescent="0.25">
      <c r="A4" s="2" t="s">
        <v>27</v>
      </c>
      <c r="B4" s="1" t="s">
        <v>28</v>
      </c>
      <c r="C4" s="8" t="s">
        <v>29</v>
      </c>
      <c r="D4" s="8" t="s">
        <v>30</v>
      </c>
      <c r="E4" s="1" t="s">
        <v>120</v>
      </c>
      <c r="F4" s="8" t="s">
        <v>21</v>
      </c>
      <c r="G4" s="1" t="s">
        <v>121</v>
      </c>
      <c r="H4" s="8" t="s">
        <v>106</v>
      </c>
      <c r="I4" s="8" t="s">
        <v>107</v>
      </c>
      <c r="J4" s="8" t="s">
        <v>108</v>
      </c>
      <c r="K4" s="8" t="s">
        <v>109</v>
      </c>
      <c r="L4" s="1">
        <v>2018146</v>
      </c>
      <c r="M4" s="1" t="s">
        <v>122</v>
      </c>
      <c r="N4" s="9">
        <f>DATE(2016,2,15)</f>
        <v>42415</v>
      </c>
      <c r="O4" s="9">
        <f>DATE(2020,12,22)</f>
        <v>44187</v>
      </c>
      <c r="P4" s="9">
        <f t="shared" ref="P4:P67" si="0">IF(G4="QUALIFICACAO PROFISSIONAL (FIC)",O4,O4+1095)</f>
        <v>45282</v>
      </c>
      <c r="Q4" s="1">
        <v>4028</v>
      </c>
      <c r="R4" s="8">
        <v>3600</v>
      </c>
      <c r="S4" s="8">
        <f t="shared" ref="S4:S67" si="1">IF(OR(G4="QUALIFICACAO PROFISSIONAL (FIC)",G4="DOUTORADO"),Q4,    IF(ISNUMBER(FIND("PROEJA",K4)),2400,        IF(K4="INTEGRADO",            IF(R4=800,3000,                IF(R4=1000,3100,                    IF(R4=1200,3200,R4)                )            ),            R4        )    ))</f>
        <v>3600</v>
      </c>
      <c r="T4" s="8">
        <v>2.5</v>
      </c>
      <c r="U4" s="8" t="str">
        <f t="shared" ref="U4:U67" si="2">IF(P4&lt;AB4,"NÃO","SIM")</f>
        <v>NÃO</v>
      </c>
      <c r="V4" s="1">
        <f t="shared" ref="V4:V67" si="3">O4-N4+1</f>
        <v>1773</v>
      </c>
      <c r="W4" s="10">
        <f t="shared" ref="W4:W67" si="4">IF(S4&gt;Q4,Q4,S4)/V4</f>
        <v>2.030456852791878</v>
      </c>
      <c r="X4" s="10">
        <f t="shared" ref="X4:X67" si="5">IF(V4&gt;365,W4*365,S4)</f>
        <v>741.11675126903549</v>
      </c>
      <c r="Y4" s="10">
        <f t="shared" ref="Y4:Y67" si="6">IF(V4&gt;365,X4/800,S4/800)</f>
        <v>0.92639593908629436</v>
      </c>
      <c r="AA4" s="10"/>
      <c r="AB4" s="5">
        <f t="shared" ref="AB4:AB67" si="7">DATE(2024,1,1)</f>
        <v>45292</v>
      </c>
      <c r="AC4" s="9">
        <f t="shared" ref="AC4:AC67" si="8">DATE(2024,12,31)</f>
        <v>45657</v>
      </c>
      <c r="AD4" s="8">
        <v>1</v>
      </c>
      <c r="AE4" s="8">
        <f t="shared" ref="AE4:AE67" si="9">IF(AND(N4&lt;AB4,O4&gt;AC4),AC4-AB4+1,0)</f>
        <v>0</v>
      </c>
      <c r="AF4" s="8">
        <f t="shared" ref="AF4:AF67" si="10">IF(AND(N4&gt;=AB4,O4&gt;AC4,N4&lt;AC4),AC4-N4+1,0)</f>
        <v>0</v>
      </c>
      <c r="AG4" s="8">
        <f t="shared" ref="AG4:AG67" si="11">IF(AND(N4&lt;AB4,O4&lt;=AC4,O4&gt;=AB4),O4-AB4+1,0)</f>
        <v>0</v>
      </c>
      <c r="AH4" s="8">
        <f t="shared" ref="AH4:AH67" si="12">IF(AND(N4&gt;=AB4,O4&lt;=AC4),O4-N4+1,0)</f>
        <v>0</v>
      </c>
      <c r="AI4" s="8">
        <f t="shared" ref="AI4:AI67" si="13">IF(AND(N4&lt;AB4,O4&lt;AB4),(AC4-AB4+1)/2,0)</f>
        <v>183</v>
      </c>
      <c r="AJ4" s="11">
        <f t="shared" ref="AJ4:AJ67" si="14">SUM(AE4:AI4)/IF(V4&gt;=365,AC4-AB4+1,V4)</f>
        <v>0.5</v>
      </c>
      <c r="AK4" s="11">
        <f t="shared" ref="AK4:AK67" si="15">Y4*AJ4</f>
        <v>0.46319796954314718</v>
      </c>
      <c r="AL4" s="11">
        <f t="shared" ref="AL4:AL67" si="16">IF(AI4=0,AK4*AD4,IF(U4="SIM",AK4*(AD4/2),0))</f>
        <v>0</v>
      </c>
      <c r="AM4" s="11">
        <f t="shared" ref="AM4:AM67" si="17">AL4*T4</f>
        <v>0</v>
      </c>
      <c r="AN4" s="11">
        <f t="shared" ref="AN4:AN67" si="18">IF(J4="SIM",AM4*50%,0)</f>
        <v>0</v>
      </c>
      <c r="AO4" s="11">
        <f t="shared" ref="AO4:AO67" si="19">IF(U4="SIM",AM4+AN4,0)</f>
        <v>0</v>
      </c>
      <c r="AP4" s="1" t="str">
        <f>INDEX({"EAD";"EAD";"EAD";"EAD MOOC";"EAD";"EAD";"EAD FP";"EAD";"PRESENCIAL";"PRESENCIAL";"PRESENCIAL";"PRESENCIAL"}, MATCH(CONCATENATE(E4, ".", F4),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U4" t="s">
        <v>110</v>
      </c>
      <c r="AV4" t="s">
        <v>0</v>
      </c>
    </row>
    <row r="5" spans="1:48" x14ac:dyDescent="0.25">
      <c r="A5" s="1" t="s">
        <v>27</v>
      </c>
      <c r="B5" s="1" t="s">
        <v>28</v>
      </c>
      <c r="C5" s="1" t="s">
        <v>29</v>
      </c>
      <c r="D5" s="1" t="s">
        <v>30</v>
      </c>
      <c r="E5" s="1" t="s">
        <v>120</v>
      </c>
      <c r="F5" s="1" t="s">
        <v>21</v>
      </c>
      <c r="G5" s="1" t="s">
        <v>121</v>
      </c>
      <c r="H5" s="1" t="s">
        <v>123</v>
      </c>
      <c r="I5" s="1" t="s">
        <v>124</v>
      </c>
      <c r="J5" s="1" t="s">
        <v>125</v>
      </c>
      <c r="K5" s="1" t="s">
        <v>109</v>
      </c>
      <c r="L5" s="1">
        <v>2140930</v>
      </c>
      <c r="M5" s="1" t="s">
        <v>126</v>
      </c>
      <c r="N5" s="5">
        <f>DATE(2017,2,13)</f>
        <v>42779</v>
      </c>
      <c r="O5" s="5">
        <f>DATE(2020,12,31)</f>
        <v>44196</v>
      </c>
      <c r="P5" s="5">
        <f t="shared" si="0"/>
        <v>45291</v>
      </c>
      <c r="Q5" s="1">
        <v>3120</v>
      </c>
      <c r="R5" s="1">
        <v>3000</v>
      </c>
      <c r="S5" s="1">
        <f t="shared" si="1"/>
        <v>3000</v>
      </c>
      <c r="T5" s="1">
        <v>1</v>
      </c>
      <c r="U5" s="1" t="str">
        <f t="shared" si="2"/>
        <v>NÃO</v>
      </c>
      <c r="V5" s="1">
        <f t="shared" si="3"/>
        <v>1418</v>
      </c>
      <c r="W5" s="4">
        <f t="shared" si="4"/>
        <v>2.1156558533145273</v>
      </c>
      <c r="X5" s="4">
        <f t="shared" si="5"/>
        <v>772.21438645980243</v>
      </c>
      <c r="Y5" s="4">
        <f t="shared" si="6"/>
        <v>0.96526798307475303</v>
      </c>
      <c r="AB5" s="5">
        <f t="shared" si="7"/>
        <v>45292</v>
      </c>
      <c r="AC5" s="5">
        <f t="shared" si="8"/>
        <v>45657</v>
      </c>
      <c r="AE5" s="1">
        <f t="shared" si="9"/>
        <v>0</v>
      </c>
      <c r="AF5" s="1">
        <f t="shared" si="10"/>
        <v>0</v>
      </c>
      <c r="AG5" s="1">
        <f t="shared" si="11"/>
        <v>0</v>
      </c>
      <c r="AH5" s="1">
        <f t="shared" si="12"/>
        <v>0</v>
      </c>
      <c r="AI5" s="1">
        <f t="shared" si="13"/>
        <v>183</v>
      </c>
      <c r="AJ5" s="3">
        <f t="shared" si="14"/>
        <v>0.5</v>
      </c>
      <c r="AK5" s="3">
        <f t="shared" si="15"/>
        <v>0.48263399153737652</v>
      </c>
      <c r="AL5" s="3">
        <f t="shared" si="16"/>
        <v>0</v>
      </c>
      <c r="AM5" s="3">
        <f t="shared" si="17"/>
        <v>0</v>
      </c>
      <c r="AN5" s="3">
        <f t="shared" si="18"/>
        <v>0</v>
      </c>
      <c r="AO5" s="3">
        <f t="shared" si="19"/>
        <v>0</v>
      </c>
      <c r="AP5" s="1" t="str">
        <f>INDEX({"EAD";"EAD";"EAD";"EAD MOOC";"EAD";"EAD";"EAD FP";"EAD";"PRESENCIAL";"PRESENCIAL";"PRESENCIAL";"PRESENCIAL"}, MATCH(CONCATENATE(E5, ".", F5),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U5" t="s">
        <v>111</v>
      </c>
      <c r="AV5" t="s">
        <v>0</v>
      </c>
    </row>
    <row r="6" spans="1:48" x14ac:dyDescent="0.25">
      <c r="A6" s="1" t="s">
        <v>27</v>
      </c>
      <c r="B6" s="1" t="s">
        <v>28</v>
      </c>
      <c r="C6" s="1" t="s">
        <v>29</v>
      </c>
      <c r="D6" s="1" t="s">
        <v>30</v>
      </c>
      <c r="E6" s="1" t="s">
        <v>120</v>
      </c>
      <c r="F6" s="1" t="s">
        <v>21</v>
      </c>
      <c r="G6" s="1" t="s">
        <v>121</v>
      </c>
      <c r="H6" s="1" t="s">
        <v>106</v>
      </c>
      <c r="I6" s="1" t="s">
        <v>107</v>
      </c>
      <c r="J6" s="1" t="s">
        <v>108</v>
      </c>
      <c r="K6" s="1" t="s">
        <v>109</v>
      </c>
      <c r="L6" s="1">
        <v>2140931</v>
      </c>
      <c r="M6" s="1" t="s">
        <v>127</v>
      </c>
      <c r="N6" s="5">
        <f>DATE(2017,2,13)</f>
        <v>42779</v>
      </c>
      <c r="O6" s="5">
        <f>DATE(2021,12,31)</f>
        <v>44561</v>
      </c>
      <c r="P6" s="5">
        <f t="shared" si="0"/>
        <v>45656</v>
      </c>
      <c r="Q6" s="1">
        <v>4028</v>
      </c>
      <c r="R6" s="1">
        <v>3600</v>
      </c>
      <c r="S6" s="1">
        <f t="shared" si="1"/>
        <v>3600</v>
      </c>
      <c r="T6" s="1">
        <v>2.5</v>
      </c>
      <c r="U6" s="1" t="str">
        <f t="shared" si="2"/>
        <v>SIM</v>
      </c>
      <c r="V6" s="1">
        <f t="shared" si="3"/>
        <v>1783</v>
      </c>
      <c r="W6" s="4">
        <f t="shared" si="4"/>
        <v>2.0190689848569825</v>
      </c>
      <c r="X6" s="4">
        <f t="shared" si="5"/>
        <v>736.96017947279859</v>
      </c>
      <c r="Y6" s="4">
        <f t="shared" si="6"/>
        <v>0.92120022434099824</v>
      </c>
      <c r="AB6" s="5">
        <f t="shared" si="7"/>
        <v>45292</v>
      </c>
      <c r="AC6" s="5">
        <f t="shared" si="8"/>
        <v>45657</v>
      </c>
      <c r="AD6" s="1">
        <v>12</v>
      </c>
      <c r="AE6" s="1">
        <f t="shared" si="9"/>
        <v>0</v>
      </c>
      <c r="AF6" s="1">
        <f t="shared" si="10"/>
        <v>0</v>
      </c>
      <c r="AG6" s="1">
        <f t="shared" si="11"/>
        <v>0</v>
      </c>
      <c r="AH6" s="1">
        <f t="shared" si="12"/>
        <v>0</v>
      </c>
      <c r="AI6" s="1">
        <f t="shared" si="13"/>
        <v>183</v>
      </c>
      <c r="AJ6" s="3">
        <f t="shared" si="14"/>
        <v>0.5</v>
      </c>
      <c r="AK6" s="3">
        <f t="shared" si="15"/>
        <v>0.46060011217049912</v>
      </c>
      <c r="AL6" s="3">
        <f t="shared" si="16"/>
        <v>2.7636006730229949</v>
      </c>
      <c r="AM6" s="3">
        <f t="shared" si="17"/>
        <v>6.9090016825574878</v>
      </c>
      <c r="AN6" s="3">
        <f t="shared" si="18"/>
        <v>3.4545008412787439</v>
      </c>
      <c r="AO6" s="3">
        <f t="shared" si="19"/>
        <v>10.363502523836232</v>
      </c>
      <c r="AP6" s="1" t="str">
        <f>INDEX({"EAD";"EAD";"EAD";"EAD MOOC";"EAD";"EAD";"EAD FP";"EAD";"PRESENCIAL";"PRESENCIAL";"PRESENCIAL";"PRESENCIAL"}, MATCH(CONCATENATE(E6, ".", F6),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U6" t="s">
        <v>112</v>
      </c>
      <c r="AV6" t="s">
        <v>2</v>
      </c>
    </row>
    <row r="7" spans="1:48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120</v>
      </c>
      <c r="F7" s="1" t="s">
        <v>21</v>
      </c>
      <c r="G7" s="1" t="s">
        <v>128</v>
      </c>
      <c r="H7" s="1" t="s">
        <v>129</v>
      </c>
      <c r="I7" s="1" t="s">
        <v>124</v>
      </c>
      <c r="J7" s="1" t="s">
        <v>125</v>
      </c>
      <c r="K7" s="1" t="s">
        <v>130</v>
      </c>
      <c r="L7" s="1">
        <v>2141028</v>
      </c>
      <c r="M7" s="1" t="s">
        <v>131</v>
      </c>
      <c r="N7" s="5">
        <f>DATE(2017,2,13)</f>
        <v>42779</v>
      </c>
      <c r="O7" s="5">
        <f>DATE(2019,12,30)</f>
        <v>43829</v>
      </c>
      <c r="P7" s="5">
        <f t="shared" si="0"/>
        <v>44924</v>
      </c>
      <c r="Q7" s="1">
        <v>3486</v>
      </c>
      <c r="R7" s="1">
        <v>800</v>
      </c>
      <c r="S7" s="1">
        <f t="shared" si="1"/>
        <v>3000</v>
      </c>
      <c r="T7" s="1">
        <v>1.5</v>
      </c>
      <c r="U7" s="1" t="str">
        <f t="shared" si="2"/>
        <v>NÃO</v>
      </c>
      <c r="V7" s="1">
        <f t="shared" si="3"/>
        <v>1051</v>
      </c>
      <c r="W7" s="4">
        <f t="shared" si="4"/>
        <v>2.8544243577545196</v>
      </c>
      <c r="X7" s="4">
        <f t="shared" si="5"/>
        <v>1041.8648905803996</v>
      </c>
      <c r="Y7" s="4">
        <f t="shared" si="6"/>
        <v>1.3023311132254995</v>
      </c>
      <c r="AB7" s="5">
        <f t="shared" si="7"/>
        <v>45292</v>
      </c>
      <c r="AC7" s="5">
        <f t="shared" si="8"/>
        <v>45657</v>
      </c>
      <c r="AD7" s="1">
        <v>1</v>
      </c>
      <c r="AE7" s="1">
        <f t="shared" si="9"/>
        <v>0</v>
      </c>
      <c r="AF7" s="1">
        <f t="shared" si="10"/>
        <v>0</v>
      </c>
      <c r="AG7" s="1">
        <f t="shared" si="11"/>
        <v>0</v>
      </c>
      <c r="AH7" s="1">
        <f t="shared" si="12"/>
        <v>0</v>
      </c>
      <c r="AI7" s="1">
        <f t="shared" si="13"/>
        <v>183</v>
      </c>
      <c r="AJ7" s="3">
        <f t="shared" si="14"/>
        <v>0.5</v>
      </c>
      <c r="AK7" s="3">
        <f t="shared" si="15"/>
        <v>0.65116555661274977</v>
      </c>
      <c r="AL7" s="3">
        <f t="shared" si="16"/>
        <v>0</v>
      </c>
      <c r="AM7" s="3">
        <f t="shared" si="17"/>
        <v>0</v>
      </c>
      <c r="AN7" s="3">
        <f t="shared" si="18"/>
        <v>0</v>
      </c>
      <c r="AO7" s="3">
        <f t="shared" si="19"/>
        <v>0</v>
      </c>
      <c r="AP7" s="1" t="str">
        <f>INDEX({"EAD";"EAD";"EAD";"EAD MOOC";"EAD";"EAD";"EAD FP";"EAD";"PRESENCIAL";"PRESENCIAL";"PRESENCIAL";"PRESENCIAL"}, MATCH(CONCATENATE(E7, ".", F7),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U7" t="s">
        <v>113</v>
      </c>
      <c r="AV7" t="s">
        <v>2</v>
      </c>
    </row>
    <row r="8" spans="1:48" x14ac:dyDescent="0.25">
      <c r="A8" s="1" t="s">
        <v>27</v>
      </c>
      <c r="B8" s="1" t="s">
        <v>28</v>
      </c>
      <c r="C8" s="1" t="s">
        <v>29</v>
      </c>
      <c r="D8" s="1" t="s">
        <v>30</v>
      </c>
      <c r="E8" s="1" t="s">
        <v>120</v>
      </c>
      <c r="F8" s="1" t="s">
        <v>21</v>
      </c>
      <c r="G8" s="1" t="s">
        <v>128</v>
      </c>
      <c r="H8" s="1" t="s">
        <v>132</v>
      </c>
      <c r="I8" s="1" t="s">
        <v>107</v>
      </c>
      <c r="J8" s="1" t="s">
        <v>108</v>
      </c>
      <c r="K8" s="1" t="s">
        <v>130</v>
      </c>
      <c r="L8" s="1">
        <v>2467896</v>
      </c>
      <c r="M8" s="1" t="s">
        <v>133</v>
      </c>
      <c r="N8" s="5">
        <f>DATE(2018,2,5)</f>
        <v>43136</v>
      </c>
      <c r="O8" s="5">
        <f>DATE(2021,12,30)</f>
        <v>44560</v>
      </c>
      <c r="P8" s="5">
        <f t="shared" si="0"/>
        <v>45655</v>
      </c>
      <c r="Q8" s="1">
        <v>3486</v>
      </c>
      <c r="R8" s="1">
        <v>1200</v>
      </c>
      <c r="S8" s="1">
        <f t="shared" si="1"/>
        <v>3200</v>
      </c>
      <c r="T8" s="1">
        <v>2.5</v>
      </c>
      <c r="U8" s="1" t="str">
        <f t="shared" si="2"/>
        <v>SIM</v>
      </c>
      <c r="V8" s="1">
        <f t="shared" si="3"/>
        <v>1425</v>
      </c>
      <c r="W8" s="4">
        <f t="shared" si="4"/>
        <v>2.2456140350877192</v>
      </c>
      <c r="X8" s="4">
        <f t="shared" si="5"/>
        <v>819.64912280701753</v>
      </c>
      <c r="Y8" s="4">
        <f t="shared" si="6"/>
        <v>1.024561403508772</v>
      </c>
      <c r="AB8" s="5">
        <f t="shared" si="7"/>
        <v>45292</v>
      </c>
      <c r="AC8" s="5">
        <f t="shared" si="8"/>
        <v>45657</v>
      </c>
      <c r="AD8" s="1">
        <v>6</v>
      </c>
      <c r="AE8" s="1">
        <f t="shared" si="9"/>
        <v>0</v>
      </c>
      <c r="AF8" s="1">
        <f t="shared" si="10"/>
        <v>0</v>
      </c>
      <c r="AG8" s="1">
        <f t="shared" si="11"/>
        <v>0</v>
      </c>
      <c r="AH8" s="1">
        <f t="shared" si="12"/>
        <v>0</v>
      </c>
      <c r="AI8" s="1">
        <f t="shared" si="13"/>
        <v>183</v>
      </c>
      <c r="AJ8" s="3">
        <f t="shared" si="14"/>
        <v>0.5</v>
      </c>
      <c r="AK8" s="3">
        <f t="shared" si="15"/>
        <v>0.512280701754386</v>
      </c>
      <c r="AL8" s="3">
        <f t="shared" si="16"/>
        <v>1.536842105263158</v>
      </c>
      <c r="AM8" s="3">
        <f t="shared" si="17"/>
        <v>3.8421052631578951</v>
      </c>
      <c r="AN8" s="3">
        <f t="shared" si="18"/>
        <v>1.9210526315789476</v>
      </c>
      <c r="AO8" s="3">
        <f t="shared" si="19"/>
        <v>5.7631578947368425</v>
      </c>
      <c r="AP8" s="1" t="str">
        <f>INDEX({"EAD";"EAD";"EAD";"EAD MOOC";"EAD";"EAD";"EAD FP";"EAD";"PRESENCIAL";"PRESENCIAL";"PRESENCIAL";"PRESENCIAL"}, MATCH(CONCATENATE(E8, ".", F8),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U8" t="s">
        <v>114</v>
      </c>
      <c r="AV8" t="s">
        <v>2</v>
      </c>
    </row>
    <row r="9" spans="1:48" x14ac:dyDescent="0.25">
      <c r="A9" s="1" t="s">
        <v>27</v>
      </c>
      <c r="B9" s="1" t="s">
        <v>28</v>
      </c>
      <c r="C9" s="1" t="s">
        <v>29</v>
      </c>
      <c r="D9" s="1" t="s">
        <v>30</v>
      </c>
      <c r="E9" s="1" t="s">
        <v>120</v>
      </c>
      <c r="F9" s="1" t="s">
        <v>21</v>
      </c>
      <c r="G9" s="1" t="s">
        <v>121</v>
      </c>
      <c r="H9" s="1" t="s">
        <v>123</v>
      </c>
      <c r="I9" s="1" t="s">
        <v>124</v>
      </c>
      <c r="J9" s="1" t="s">
        <v>125</v>
      </c>
      <c r="K9" s="1" t="s">
        <v>109</v>
      </c>
      <c r="L9" s="1">
        <v>2473335</v>
      </c>
      <c r="M9" s="1" t="s">
        <v>134</v>
      </c>
      <c r="N9" s="5">
        <f>DATE(2018,2,5)</f>
        <v>43136</v>
      </c>
      <c r="O9" s="5">
        <f>DATE(2021,12,30)</f>
        <v>44560</v>
      </c>
      <c r="P9" s="5">
        <f t="shared" si="0"/>
        <v>45655</v>
      </c>
      <c r="Q9" s="1">
        <v>3120</v>
      </c>
      <c r="R9" s="1">
        <v>3000</v>
      </c>
      <c r="S9" s="1">
        <f t="shared" si="1"/>
        <v>3000</v>
      </c>
      <c r="T9" s="1">
        <v>1</v>
      </c>
      <c r="U9" s="1" t="str">
        <f t="shared" si="2"/>
        <v>SIM</v>
      </c>
      <c r="V9" s="1">
        <f t="shared" si="3"/>
        <v>1425</v>
      </c>
      <c r="W9" s="4">
        <f t="shared" si="4"/>
        <v>2.1052631578947367</v>
      </c>
      <c r="X9" s="4">
        <f t="shared" si="5"/>
        <v>768.42105263157896</v>
      </c>
      <c r="Y9" s="4">
        <f t="shared" si="6"/>
        <v>0.96052631578947367</v>
      </c>
      <c r="AB9" s="5">
        <f t="shared" si="7"/>
        <v>45292</v>
      </c>
      <c r="AC9" s="5">
        <f t="shared" si="8"/>
        <v>45657</v>
      </c>
      <c r="AD9" s="1">
        <v>17</v>
      </c>
      <c r="AE9" s="1">
        <f t="shared" si="9"/>
        <v>0</v>
      </c>
      <c r="AF9" s="1">
        <f t="shared" si="10"/>
        <v>0</v>
      </c>
      <c r="AG9" s="1">
        <f t="shared" si="11"/>
        <v>0</v>
      </c>
      <c r="AH9" s="1">
        <f t="shared" si="12"/>
        <v>0</v>
      </c>
      <c r="AI9" s="1">
        <f t="shared" si="13"/>
        <v>183</v>
      </c>
      <c r="AJ9" s="3">
        <f t="shared" si="14"/>
        <v>0.5</v>
      </c>
      <c r="AK9" s="3">
        <f t="shared" si="15"/>
        <v>0.48026315789473684</v>
      </c>
      <c r="AL9" s="3">
        <f t="shared" si="16"/>
        <v>4.0822368421052628</v>
      </c>
      <c r="AM9" s="3">
        <f t="shared" si="17"/>
        <v>4.0822368421052628</v>
      </c>
      <c r="AN9" s="3">
        <f t="shared" si="18"/>
        <v>0</v>
      </c>
      <c r="AO9" s="3">
        <f t="shared" si="19"/>
        <v>4.0822368421052628</v>
      </c>
      <c r="AP9" s="1" t="str">
        <f>INDEX({"EAD";"EAD";"EAD";"EAD MOOC";"EAD";"EAD";"EAD FP";"EAD";"PRESENCIAL";"PRESENCIAL";"PRESENCIAL";"PRESENCIAL"}, MATCH(CONCATENATE(E9, ".", F9),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U9" t="s">
        <v>115</v>
      </c>
      <c r="AV9" t="s">
        <v>4</v>
      </c>
    </row>
    <row r="10" spans="1:48" x14ac:dyDescent="0.25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120</v>
      </c>
      <c r="F10" s="1" t="s">
        <v>21</v>
      </c>
      <c r="G10" s="1" t="s">
        <v>121</v>
      </c>
      <c r="H10" s="1" t="s">
        <v>106</v>
      </c>
      <c r="I10" s="1" t="s">
        <v>107</v>
      </c>
      <c r="J10" s="1" t="s">
        <v>108</v>
      </c>
      <c r="K10" s="1" t="s">
        <v>109</v>
      </c>
      <c r="L10" s="1">
        <v>2475826</v>
      </c>
      <c r="M10" s="1" t="s">
        <v>135</v>
      </c>
      <c r="N10" s="5">
        <f>DATE(2018,2,5)</f>
        <v>43136</v>
      </c>
      <c r="O10" s="5">
        <f>DATE(2022,12,30)</f>
        <v>44925</v>
      </c>
      <c r="P10" s="5">
        <f t="shared" si="0"/>
        <v>46020</v>
      </c>
      <c r="Q10" s="1">
        <v>4028</v>
      </c>
      <c r="R10" s="1">
        <v>3600</v>
      </c>
      <c r="S10" s="1">
        <f t="shared" si="1"/>
        <v>3600</v>
      </c>
      <c r="T10" s="1">
        <v>2.5</v>
      </c>
      <c r="U10" s="1" t="str">
        <f t="shared" si="2"/>
        <v>SIM</v>
      </c>
      <c r="V10" s="1">
        <f t="shared" si="3"/>
        <v>1790</v>
      </c>
      <c r="W10" s="4">
        <f t="shared" si="4"/>
        <v>2.011173184357542</v>
      </c>
      <c r="X10" s="4">
        <f t="shared" si="5"/>
        <v>734.07821229050285</v>
      </c>
      <c r="Y10" s="4">
        <f t="shared" si="6"/>
        <v>0.91759776536312854</v>
      </c>
      <c r="AB10" s="5">
        <f t="shared" si="7"/>
        <v>45292</v>
      </c>
      <c r="AC10" s="5">
        <f t="shared" si="8"/>
        <v>45657</v>
      </c>
      <c r="AD10" s="1">
        <v>8</v>
      </c>
      <c r="AE10" s="1">
        <f t="shared" si="9"/>
        <v>0</v>
      </c>
      <c r="AF10" s="1">
        <f t="shared" si="10"/>
        <v>0</v>
      </c>
      <c r="AG10" s="1">
        <f t="shared" si="11"/>
        <v>0</v>
      </c>
      <c r="AH10" s="1">
        <f t="shared" si="12"/>
        <v>0</v>
      </c>
      <c r="AI10" s="1">
        <f t="shared" si="13"/>
        <v>183</v>
      </c>
      <c r="AJ10" s="3">
        <f t="shared" si="14"/>
        <v>0.5</v>
      </c>
      <c r="AK10" s="3">
        <f t="shared" si="15"/>
        <v>0.45879888268156427</v>
      </c>
      <c r="AL10" s="3">
        <f t="shared" si="16"/>
        <v>1.8351955307262571</v>
      </c>
      <c r="AM10" s="3">
        <f t="shared" si="17"/>
        <v>4.5879888268156428</v>
      </c>
      <c r="AN10" s="3">
        <f t="shared" si="18"/>
        <v>2.2939944134078214</v>
      </c>
      <c r="AO10" s="3">
        <f t="shared" si="19"/>
        <v>6.8819832402234642</v>
      </c>
      <c r="AP10" s="1" t="str">
        <f>INDEX({"EAD";"EAD";"EAD";"EAD MOOC";"EAD";"EAD";"EAD FP";"EAD";"PRESENCIAL";"PRESENCIAL";"PRESENCIAL";"PRESENCIAL"}, MATCH(CONCATENATE(E10, ".", F10),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U10" t="s">
        <v>116</v>
      </c>
      <c r="AV10" t="s">
        <v>4</v>
      </c>
    </row>
    <row r="11" spans="1:48" x14ac:dyDescent="0.25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120</v>
      </c>
      <c r="F11" s="1" t="s">
        <v>21</v>
      </c>
      <c r="G11" s="1" t="s">
        <v>128</v>
      </c>
      <c r="H11" s="1" t="s">
        <v>129</v>
      </c>
      <c r="I11" s="1" t="s">
        <v>124</v>
      </c>
      <c r="J11" s="1" t="s">
        <v>125</v>
      </c>
      <c r="K11" s="1" t="s">
        <v>130</v>
      </c>
      <c r="L11" s="1">
        <v>2570676</v>
      </c>
      <c r="M11" s="1" t="s">
        <v>136</v>
      </c>
      <c r="N11" s="5">
        <f>DATE(2019,2,4)</f>
        <v>43500</v>
      </c>
      <c r="O11" s="5">
        <f>DATE(2021,12,30)</f>
        <v>44560</v>
      </c>
      <c r="P11" s="5">
        <f t="shared" si="0"/>
        <v>45655</v>
      </c>
      <c r="Q11" s="1">
        <v>3486</v>
      </c>
      <c r="R11" s="1">
        <v>800</v>
      </c>
      <c r="S11" s="1">
        <f t="shared" si="1"/>
        <v>3000</v>
      </c>
      <c r="T11" s="1">
        <v>1.5</v>
      </c>
      <c r="U11" s="1" t="str">
        <f t="shared" si="2"/>
        <v>SIM</v>
      </c>
      <c r="V11" s="1">
        <f t="shared" si="3"/>
        <v>1061</v>
      </c>
      <c r="W11" s="4">
        <f t="shared" si="4"/>
        <v>2.827521206409048</v>
      </c>
      <c r="X11" s="4">
        <f t="shared" si="5"/>
        <v>1032.0452403393026</v>
      </c>
      <c r="Y11" s="4">
        <f t="shared" si="6"/>
        <v>1.2900565504241284</v>
      </c>
      <c r="AB11" s="5">
        <f t="shared" si="7"/>
        <v>45292</v>
      </c>
      <c r="AC11" s="5">
        <f t="shared" si="8"/>
        <v>45657</v>
      </c>
      <c r="AD11" s="1">
        <v>2</v>
      </c>
      <c r="AE11" s="1">
        <f t="shared" si="9"/>
        <v>0</v>
      </c>
      <c r="AF11" s="1">
        <f t="shared" si="10"/>
        <v>0</v>
      </c>
      <c r="AG11" s="1">
        <f t="shared" si="11"/>
        <v>0</v>
      </c>
      <c r="AH11" s="1">
        <f t="shared" si="12"/>
        <v>0</v>
      </c>
      <c r="AI11" s="1">
        <f t="shared" si="13"/>
        <v>183</v>
      </c>
      <c r="AJ11" s="3">
        <f t="shared" si="14"/>
        <v>0.5</v>
      </c>
      <c r="AK11" s="3">
        <f t="shared" si="15"/>
        <v>0.64502827521206418</v>
      </c>
      <c r="AL11" s="3">
        <f t="shared" si="16"/>
        <v>0.64502827521206418</v>
      </c>
      <c r="AM11" s="3">
        <f t="shared" si="17"/>
        <v>0.96754241281809628</v>
      </c>
      <c r="AN11" s="3">
        <f t="shared" si="18"/>
        <v>0</v>
      </c>
      <c r="AO11" s="3">
        <f t="shared" si="19"/>
        <v>0.96754241281809628</v>
      </c>
      <c r="AP11" s="1" t="str">
        <f>INDEX({"EAD";"EAD";"EAD";"EAD MOOC";"EAD";"EAD";"EAD FP";"EAD";"PRESENCIAL";"PRESENCIAL";"PRESENCIAL";"PRESENCIAL"}, MATCH(CONCATENATE(E11, ".", F11),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U11" t="s">
        <v>117</v>
      </c>
      <c r="AV11" t="s">
        <v>2</v>
      </c>
    </row>
    <row r="12" spans="1:48" x14ac:dyDescent="0.25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120</v>
      </c>
      <c r="F12" s="1" t="s">
        <v>21</v>
      </c>
      <c r="G12" s="1" t="s">
        <v>128</v>
      </c>
      <c r="H12" s="1" t="s">
        <v>132</v>
      </c>
      <c r="I12" s="1" t="s">
        <v>107</v>
      </c>
      <c r="J12" s="1" t="s">
        <v>108</v>
      </c>
      <c r="K12" s="1" t="s">
        <v>130</v>
      </c>
      <c r="L12" s="1">
        <v>2570680</v>
      </c>
      <c r="M12" s="1" t="s">
        <v>137</v>
      </c>
      <c r="N12" s="5">
        <f>DATE(2019,2,4)</f>
        <v>43500</v>
      </c>
      <c r="O12" s="5">
        <f>DATE(2021,12,30)</f>
        <v>44560</v>
      </c>
      <c r="P12" s="5">
        <f t="shared" si="0"/>
        <v>45655</v>
      </c>
      <c r="Q12" s="1">
        <v>3486</v>
      </c>
      <c r="R12" s="1">
        <v>1200</v>
      </c>
      <c r="S12" s="1">
        <f t="shared" si="1"/>
        <v>3200</v>
      </c>
      <c r="T12" s="1">
        <v>2.5</v>
      </c>
      <c r="U12" s="1" t="str">
        <f t="shared" si="2"/>
        <v>SIM</v>
      </c>
      <c r="V12" s="1">
        <f t="shared" si="3"/>
        <v>1061</v>
      </c>
      <c r="W12" s="4">
        <f t="shared" si="4"/>
        <v>3.0160226201696512</v>
      </c>
      <c r="X12" s="4">
        <f t="shared" si="5"/>
        <v>1100.8482563619227</v>
      </c>
      <c r="Y12" s="4">
        <f t="shared" si="6"/>
        <v>1.3760603204524033</v>
      </c>
      <c r="AB12" s="5">
        <f t="shared" si="7"/>
        <v>45292</v>
      </c>
      <c r="AC12" s="5">
        <f t="shared" si="8"/>
        <v>45657</v>
      </c>
      <c r="AD12" s="1">
        <v>4</v>
      </c>
      <c r="AE12" s="1">
        <f t="shared" si="9"/>
        <v>0</v>
      </c>
      <c r="AF12" s="1">
        <f t="shared" si="10"/>
        <v>0</v>
      </c>
      <c r="AG12" s="1">
        <f t="shared" si="11"/>
        <v>0</v>
      </c>
      <c r="AH12" s="1">
        <f t="shared" si="12"/>
        <v>0</v>
      </c>
      <c r="AI12" s="1">
        <f t="shared" si="13"/>
        <v>183</v>
      </c>
      <c r="AJ12" s="3">
        <f t="shared" si="14"/>
        <v>0.5</v>
      </c>
      <c r="AK12" s="3">
        <f t="shared" si="15"/>
        <v>0.68803016022620167</v>
      </c>
      <c r="AL12" s="3">
        <f t="shared" si="16"/>
        <v>1.3760603204524033</v>
      </c>
      <c r="AM12" s="3">
        <f t="shared" si="17"/>
        <v>3.4401508011310082</v>
      </c>
      <c r="AN12" s="3">
        <f t="shared" si="18"/>
        <v>1.7200754005655041</v>
      </c>
      <c r="AO12" s="3">
        <f t="shared" si="19"/>
        <v>5.1602262016965126</v>
      </c>
      <c r="AP12" s="1" t="str">
        <f>INDEX({"EAD";"EAD";"EAD";"EAD MOOC";"EAD";"EAD";"EAD FP";"EAD";"PRESENCIAL";"PRESENCIAL";"PRESENCIAL";"PRESENCIAL"}, MATCH(CONCATENATE(E12, ".", F12),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U12" t="s">
        <v>118</v>
      </c>
      <c r="AV12" t="s">
        <v>4</v>
      </c>
    </row>
    <row r="13" spans="1:48" x14ac:dyDescent="0.25">
      <c r="A13" s="7" t="s">
        <v>27</v>
      </c>
      <c r="B13" s="1" t="s">
        <v>28</v>
      </c>
      <c r="C13" s="1" t="s">
        <v>29</v>
      </c>
      <c r="D13" s="1" t="s">
        <v>30</v>
      </c>
      <c r="E13" s="1" t="s">
        <v>120</v>
      </c>
      <c r="F13" s="1" t="s">
        <v>21</v>
      </c>
      <c r="G13" s="1" t="s">
        <v>121</v>
      </c>
      <c r="H13" s="1" t="s">
        <v>123</v>
      </c>
      <c r="I13" s="1" t="s">
        <v>124</v>
      </c>
      <c r="J13" s="1" t="s">
        <v>125</v>
      </c>
      <c r="K13" s="1" t="s">
        <v>109</v>
      </c>
      <c r="L13" s="1">
        <v>2570684</v>
      </c>
      <c r="M13" s="1" t="s">
        <v>138</v>
      </c>
      <c r="N13" s="5">
        <f>DATE(2019,2,4)</f>
        <v>43500</v>
      </c>
      <c r="O13" s="5">
        <f>DATE(2022,12,30)</f>
        <v>44925</v>
      </c>
      <c r="P13" s="5">
        <f t="shared" si="0"/>
        <v>46020</v>
      </c>
      <c r="Q13" s="1">
        <v>3120</v>
      </c>
      <c r="R13" s="1">
        <v>3000</v>
      </c>
      <c r="S13" s="1">
        <f t="shared" si="1"/>
        <v>3000</v>
      </c>
      <c r="T13" s="1">
        <v>1</v>
      </c>
      <c r="U13" s="1" t="str">
        <f t="shared" si="2"/>
        <v>SIM</v>
      </c>
      <c r="V13" s="1">
        <f t="shared" si="3"/>
        <v>1426</v>
      </c>
      <c r="W13" s="4">
        <f t="shared" si="4"/>
        <v>2.1037868162692845</v>
      </c>
      <c r="X13" s="4">
        <f t="shared" si="5"/>
        <v>767.88218793828889</v>
      </c>
      <c r="Y13" s="4">
        <f t="shared" si="6"/>
        <v>0.95985273492286116</v>
      </c>
      <c r="AB13" s="5">
        <f t="shared" si="7"/>
        <v>45292</v>
      </c>
      <c r="AC13" s="5">
        <f t="shared" si="8"/>
        <v>45657</v>
      </c>
      <c r="AD13" s="1">
        <v>18</v>
      </c>
      <c r="AE13" s="1">
        <f t="shared" si="9"/>
        <v>0</v>
      </c>
      <c r="AF13" s="1">
        <f t="shared" si="10"/>
        <v>0</v>
      </c>
      <c r="AG13" s="1">
        <f t="shared" si="11"/>
        <v>0</v>
      </c>
      <c r="AH13" s="1">
        <f t="shared" si="12"/>
        <v>0</v>
      </c>
      <c r="AI13" s="1">
        <f t="shared" si="13"/>
        <v>183</v>
      </c>
      <c r="AJ13" s="3">
        <f t="shared" si="14"/>
        <v>0.5</v>
      </c>
      <c r="AK13" s="3">
        <f t="shared" si="15"/>
        <v>0.47992636746143058</v>
      </c>
      <c r="AL13" s="3">
        <f t="shared" si="16"/>
        <v>4.3193373071528756</v>
      </c>
      <c r="AM13" s="3">
        <f t="shared" si="17"/>
        <v>4.3193373071528756</v>
      </c>
      <c r="AN13" s="3">
        <f t="shared" si="18"/>
        <v>0</v>
      </c>
      <c r="AO13" s="3">
        <f t="shared" si="19"/>
        <v>4.3193373071528756</v>
      </c>
      <c r="AP13" s="1" t="str">
        <f>INDEX({"EAD";"EAD";"EAD";"EAD MOOC";"EAD";"EAD";"EAD FP";"EAD";"PRESENCIAL";"PRESENCIAL";"PRESENCIAL";"PRESENCIAL"}, MATCH(CONCATENATE(E13, ".", F13),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U13" t="s">
        <v>119</v>
      </c>
      <c r="AV13" s="1" t="s">
        <v>0</v>
      </c>
    </row>
    <row r="14" spans="1:48" x14ac:dyDescent="0.25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120</v>
      </c>
      <c r="F14" s="1" t="s">
        <v>21</v>
      </c>
      <c r="G14" s="1" t="s">
        <v>121</v>
      </c>
      <c r="H14" s="1" t="s">
        <v>106</v>
      </c>
      <c r="I14" s="1" t="s">
        <v>107</v>
      </c>
      <c r="J14" s="1" t="s">
        <v>108</v>
      </c>
      <c r="K14" s="1" t="s">
        <v>109</v>
      </c>
      <c r="L14" s="1">
        <v>2570686</v>
      </c>
      <c r="M14" s="1" t="s">
        <v>139</v>
      </c>
      <c r="N14" s="5">
        <f>DATE(2019,2,4)</f>
        <v>43500</v>
      </c>
      <c r="O14" s="5">
        <f>DATE(2023,12,30)</f>
        <v>45290</v>
      </c>
      <c r="P14" s="5">
        <f t="shared" si="0"/>
        <v>46385</v>
      </c>
      <c r="Q14" s="1">
        <v>4028</v>
      </c>
      <c r="R14" s="1">
        <v>3600</v>
      </c>
      <c r="S14" s="1">
        <f t="shared" si="1"/>
        <v>3600</v>
      </c>
      <c r="T14" s="1">
        <v>2.5</v>
      </c>
      <c r="U14" s="1" t="str">
        <f t="shared" si="2"/>
        <v>SIM</v>
      </c>
      <c r="V14" s="1">
        <f t="shared" si="3"/>
        <v>1791</v>
      </c>
      <c r="W14" s="4">
        <f t="shared" si="4"/>
        <v>2.0100502512562812</v>
      </c>
      <c r="X14" s="4">
        <f t="shared" si="5"/>
        <v>733.6683417085427</v>
      </c>
      <c r="Y14" s="4">
        <f t="shared" si="6"/>
        <v>0.91708542713567842</v>
      </c>
      <c r="AB14" s="5">
        <f t="shared" si="7"/>
        <v>45292</v>
      </c>
      <c r="AC14" s="5">
        <f t="shared" si="8"/>
        <v>45657</v>
      </c>
      <c r="AD14" s="1">
        <v>23</v>
      </c>
      <c r="AE14" s="1">
        <f t="shared" si="9"/>
        <v>0</v>
      </c>
      <c r="AF14" s="1">
        <f t="shared" si="10"/>
        <v>0</v>
      </c>
      <c r="AG14" s="1">
        <f t="shared" si="11"/>
        <v>0</v>
      </c>
      <c r="AH14" s="1">
        <f t="shared" si="12"/>
        <v>0</v>
      </c>
      <c r="AI14" s="1">
        <f t="shared" si="13"/>
        <v>183</v>
      </c>
      <c r="AJ14" s="3">
        <f t="shared" si="14"/>
        <v>0.5</v>
      </c>
      <c r="AK14" s="3">
        <f t="shared" si="15"/>
        <v>0.45854271356783921</v>
      </c>
      <c r="AL14" s="3">
        <f t="shared" si="16"/>
        <v>5.2732412060301508</v>
      </c>
      <c r="AM14" s="3">
        <f t="shared" si="17"/>
        <v>13.183103015075377</v>
      </c>
      <c r="AN14" s="3">
        <f t="shared" si="18"/>
        <v>6.5915515075376883</v>
      </c>
      <c r="AO14" s="3">
        <f t="shared" si="19"/>
        <v>19.774654522613066</v>
      </c>
      <c r="AP14" s="1" t="str">
        <f>INDEX({"EAD";"EAD";"EAD";"EAD MOOC";"EAD";"EAD";"EAD FP";"EAD";"PRESENCIAL";"PRESENCIAL";"PRESENCIAL";"PRESENCIAL"}, MATCH(CONCATENATE(E14, ".", F14),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5" spans="1:48" x14ac:dyDescent="0.25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120</v>
      </c>
      <c r="F15" s="1" t="s">
        <v>21</v>
      </c>
      <c r="G15" s="1" t="s">
        <v>140</v>
      </c>
      <c r="H15" s="1" t="s">
        <v>141</v>
      </c>
      <c r="I15" s="1" t="s">
        <v>124</v>
      </c>
      <c r="J15" s="1" t="s">
        <v>125</v>
      </c>
      <c r="K15" s="1" t="s">
        <v>109</v>
      </c>
      <c r="L15" s="1">
        <v>2619019</v>
      </c>
      <c r="M15" s="1" t="s">
        <v>142</v>
      </c>
      <c r="N15" s="5">
        <f>DATE(2019,7,22)</f>
        <v>43668</v>
      </c>
      <c r="O15" s="5">
        <f>DATE(2021,7,31)</f>
        <v>44408</v>
      </c>
      <c r="P15" s="5">
        <f t="shared" si="0"/>
        <v>45503</v>
      </c>
      <c r="Q15" s="1">
        <v>1600</v>
      </c>
      <c r="R15" s="1">
        <v>1600</v>
      </c>
      <c r="S15" s="1">
        <f t="shared" si="1"/>
        <v>1600</v>
      </c>
      <c r="T15" s="1">
        <v>1</v>
      </c>
      <c r="U15" s="1" t="str">
        <f t="shared" si="2"/>
        <v>SIM</v>
      </c>
      <c r="V15" s="1">
        <f t="shared" si="3"/>
        <v>741</v>
      </c>
      <c r="W15" s="4">
        <f t="shared" si="4"/>
        <v>2.1592442645074224</v>
      </c>
      <c r="X15" s="4">
        <f t="shared" si="5"/>
        <v>788.12415654520919</v>
      </c>
      <c r="Y15" s="4">
        <f t="shared" si="6"/>
        <v>0.98515519568151144</v>
      </c>
      <c r="AB15" s="5">
        <f t="shared" si="7"/>
        <v>45292</v>
      </c>
      <c r="AC15" s="5">
        <f t="shared" si="8"/>
        <v>45657</v>
      </c>
      <c r="AD15" s="1">
        <v>5</v>
      </c>
      <c r="AE15" s="1">
        <f t="shared" si="9"/>
        <v>0</v>
      </c>
      <c r="AF15" s="1">
        <f t="shared" si="10"/>
        <v>0</v>
      </c>
      <c r="AG15" s="1">
        <f t="shared" si="11"/>
        <v>0</v>
      </c>
      <c r="AH15" s="1">
        <f t="shared" si="12"/>
        <v>0</v>
      </c>
      <c r="AI15" s="1">
        <f t="shared" si="13"/>
        <v>183</v>
      </c>
      <c r="AJ15" s="3">
        <f t="shared" si="14"/>
        <v>0.5</v>
      </c>
      <c r="AK15" s="3">
        <f t="shared" si="15"/>
        <v>0.49257759784075572</v>
      </c>
      <c r="AL15" s="3">
        <f t="shared" si="16"/>
        <v>1.2314439946018894</v>
      </c>
      <c r="AM15" s="3">
        <f t="shared" si="17"/>
        <v>1.2314439946018894</v>
      </c>
      <c r="AN15" s="3">
        <f t="shared" si="18"/>
        <v>0</v>
      </c>
      <c r="AO15" s="3">
        <f t="shared" si="19"/>
        <v>1.2314439946018894</v>
      </c>
      <c r="AP15" s="1" t="str">
        <f>INDEX({"EAD";"EAD";"EAD";"EAD MOOC";"EAD";"EAD";"EAD FP";"EAD";"PRESENCIAL";"PRESENCIAL";"PRESENCIAL";"PRESENCIAL"}, MATCH(CONCATENATE(E15, ".", F15),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6" spans="1:48" x14ac:dyDescent="0.25">
      <c r="A16" s="1" t="s">
        <v>13</v>
      </c>
      <c r="B16" s="1" t="s">
        <v>28</v>
      </c>
      <c r="C16" s="1" t="s">
        <v>29</v>
      </c>
      <c r="D16" s="1" t="s">
        <v>30</v>
      </c>
      <c r="E16" s="1" t="s">
        <v>120</v>
      </c>
      <c r="F16" s="1" t="s">
        <v>21</v>
      </c>
      <c r="G16" s="1" t="s">
        <v>128</v>
      </c>
      <c r="H16" s="1" t="s">
        <v>129</v>
      </c>
      <c r="I16" s="1" t="s">
        <v>124</v>
      </c>
      <c r="J16" s="1" t="s">
        <v>125</v>
      </c>
      <c r="K16" s="1" t="s">
        <v>130</v>
      </c>
      <c r="L16" s="1">
        <v>2671141</v>
      </c>
      <c r="M16" s="1" t="s">
        <v>143</v>
      </c>
      <c r="N16" s="5">
        <f>DATE(2020,2,3)</f>
        <v>43864</v>
      </c>
      <c r="O16" s="5">
        <f>DATE(2022,12,18)</f>
        <v>44913</v>
      </c>
      <c r="P16" s="5">
        <f t="shared" si="0"/>
        <v>46008</v>
      </c>
      <c r="Q16" s="1">
        <v>3486</v>
      </c>
      <c r="R16" s="1">
        <v>800</v>
      </c>
      <c r="S16" s="1">
        <f t="shared" si="1"/>
        <v>3000</v>
      </c>
      <c r="T16" s="1">
        <v>1.5</v>
      </c>
      <c r="U16" s="1" t="str">
        <f t="shared" si="2"/>
        <v>SIM</v>
      </c>
      <c r="V16" s="1">
        <f t="shared" si="3"/>
        <v>1050</v>
      </c>
      <c r="W16" s="4">
        <f t="shared" si="4"/>
        <v>2.8571428571428572</v>
      </c>
      <c r="X16" s="4">
        <f t="shared" si="5"/>
        <v>1042.8571428571429</v>
      </c>
      <c r="Y16" s="4">
        <f t="shared" si="6"/>
        <v>1.3035714285714286</v>
      </c>
      <c r="AB16" s="5">
        <f t="shared" si="7"/>
        <v>45292</v>
      </c>
      <c r="AC16" s="5">
        <f t="shared" si="8"/>
        <v>45657</v>
      </c>
      <c r="AD16" s="1">
        <v>4</v>
      </c>
      <c r="AE16" s="1">
        <f t="shared" si="9"/>
        <v>0</v>
      </c>
      <c r="AF16" s="1">
        <f t="shared" si="10"/>
        <v>0</v>
      </c>
      <c r="AG16" s="1">
        <f t="shared" si="11"/>
        <v>0</v>
      </c>
      <c r="AH16" s="1">
        <f t="shared" si="12"/>
        <v>0</v>
      </c>
      <c r="AI16" s="1">
        <f t="shared" si="13"/>
        <v>183</v>
      </c>
      <c r="AJ16" s="3">
        <f t="shared" si="14"/>
        <v>0.5</v>
      </c>
      <c r="AK16" s="3">
        <f t="shared" si="15"/>
        <v>0.6517857142857143</v>
      </c>
      <c r="AL16" s="3">
        <f t="shared" si="16"/>
        <v>1.3035714285714286</v>
      </c>
      <c r="AM16" s="3">
        <f t="shared" si="17"/>
        <v>1.9553571428571428</v>
      </c>
      <c r="AN16" s="3">
        <f t="shared" si="18"/>
        <v>0</v>
      </c>
      <c r="AO16" s="3">
        <f t="shared" si="19"/>
        <v>1.9553571428571428</v>
      </c>
      <c r="AP16" s="1" t="str">
        <f>INDEX({"EAD";"EAD";"EAD";"EAD MOOC";"EAD";"EAD";"EAD FP";"EAD";"PRESENCIAL";"PRESENCIAL";"PRESENCIAL";"PRESENCIAL"}, MATCH(CONCATENATE(E16, ".", F16),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7" spans="1:42" x14ac:dyDescent="0.25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120</v>
      </c>
      <c r="F17" s="1" t="s">
        <v>21</v>
      </c>
      <c r="G17" s="1" t="s">
        <v>128</v>
      </c>
      <c r="H17" s="1" t="s">
        <v>132</v>
      </c>
      <c r="I17" s="1" t="s">
        <v>107</v>
      </c>
      <c r="J17" s="1" t="s">
        <v>108</v>
      </c>
      <c r="K17" s="1" t="s">
        <v>130</v>
      </c>
      <c r="L17" s="1">
        <v>2671143</v>
      </c>
      <c r="M17" s="1" t="s">
        <v>144</v>
      </c>
      <c r="N17" s="5">
        <f>DATE(2020,2,3)</f>
        <v>43864</v>
      </c>
      <c r="O17" s="5">
        <f>DATE(2022,12,18)</f>
        <v>44913</v>
      </c>
      <c r="P17" s="5">
        <f t="shared" si="0"/>
        <v>46008</v>
      </c>
      <c r="Q17" s="1">
        <v>3486</v>
      </c>
      <c r="R17" s="1">
        <v>1200</v>
      </c>
      <c r="S17" s="1">
        <f t="shared" si="1"/>
        <v>3200</v>
      </c>
      <c r="T17" s="1">
        <v>2.5</v>
      </c>
      <c r="U17" s="1" t="str">
        <f t="shared" si="2"/>
        <v>SIM</v>
      </c>
      <c r="V17" s="1">
        <f t="shared" si="3"/>
        <v>1050</v>
      </c>
      <c r="W17" s="4">
        <f t="shared" si="4"/>
        <v>3.0476190476190474</v>
      </c>
      <c r="X17" s="4">
        <f t="shared" si="5"/>
        <v>1112.3809523809523</v>
      </c>
      <c r="Y17" s="4">
        <f t="shared" si="6"/>
        <v>1.3904761904761904</v>
      </c>
      <c r="AB17" s="5">
        <f t="shared" si="7"/>
        <v>45292</v>
      </c>
      <c r="AC17" s="5">
        <f t="shared" si="8"/>
        <v>45657</v>
      </c>
      <c r="AD17" s="1">
        <v>16</v>
      </c>
      <c r="AE17" s="1">
        <f t="shared" si="9"/>
        <v>0</v>
      </c>
      <c r="AF17" s="1">
        <f t="shared" si="10"/>
        <v>0</v>
      </c>
      <c r="AG17" s="1">
        <f t="shared" si="11"/>
        <v>0</v>
      </c>
      <c r="AH17" s="1">
        <f t="shared" si="12"/>
        <v>0</v>
      </c>
      <c r="AI17" s="1">
        <f t="shared" si="13"/>
        <v>183</v>
      </c>
      <c r="AJ17" s="3">
        <f t="shared" si="14"/>
        <v>0.5</v>
      </c>
      <c r="AK17" s="3">
        <f t="shared" si="15"/>
        <v>0.69523809523809521</v>
      </c>
      <c r="AL17" s="3">
        <f t="shared" si="16"/>
        <v>5.5619047619047617</v>
      </c>
      <c r="AM17" s="3">
        <f t="shared" si="17"/>
        <v>13.904761904761905</v>
      </c>
      <c r="AN17" s="3">
        <f t="shared" si="18"/>
        <v>6.9523809523809526</v>
      </c>
      <c r="AO17" s="3">
        <f t="shared" si="19"/>
        <v>20.857142857142858</v>
      </c>
      <c r="AP17" s="1" t="str">
        <f>INDEX({"EAD";"EAD";"EAD";"EAD MOOC";"EAD";"EAD";"EAD FP";"EAD";"PRESENCIAL";"PRESENCIAL";"PRESENCIAL";"PRESENCIAL"}, MATCH(CONCATENATE(E17, ".", F17),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8" spans="1:42" x14ac:dyDescent="0.25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120</v>
      </c>
      <c r="F18" s="1" t="s">
        <v>21</v>
      </c>
      <c r="G18" s="1" t="s">
        <v>121</v>
      </c>
      <c r="H18" s="1" t="s">
        <v>123</v>
      </c>
      <c r="I18" s="1" t="s">
        <v>124</v>
      </c>
      <c r="J18" s="1" t="s">
        <v>125</v>
      </c>
      <c r="K18" s="1" t="s">
        <v>109</v>
      </c>
      <c r="L18" s="1">
        <v>2671145</v>
      </c>
      <c r="M18" s="1" t="s">
        <v>145</v>
      </c>
      <c r="N18" s="5">
        <f>DATE(2020,2,3)</f>
        <v>43864</v>
      </c>
      <c r="O18" s="5">
        <f>DATE(2023,12,18)</f>
        <v>45278</v>
      </c>
      <c r="P18" s="5">
        <f t="shared" si="0"/>
        <v>46373</v>
      </c>
      <c r="Q18" s="1">
        <v>3120</v>
      </c>
      <c r="R18" s="1">
        <v>3000</v>
      </c>
      <c r="S18" s="1">
        <f t="shared" si="1"/>
        <v>3000</v>
      </c>
      <c r="T18" s="1">
        <v>1</v>
      </c>
      <c r="U18" s="1" t="str">
        <f t="shared" si="2"/>
        <v>SIM</v>
      </c>
      <c r="V18" s="1">
        <f t="shared" si="3"/>
        <v>1415</v>
      </c>
      <c r="W18" s="4">
        <f t="shared" si="4"/>
        <v>2.1201413427561837</v>
      </c>
      <c r="X18" s="4">
        <f t="shared" si="5"/>
        <v>773.85159010600705</v>
      </c>
      <c r="Y18" s="4">
        <f t="shared" si="6"/>
        <v>0.96731448763250882</v>
      </c>
      <c r="AB18" s="5">
        <f t="shared" si="7"/>
        <v>45292</v>
      </c>
      <c r="AC18" s="5">
        <f t="shared" si="8"/>
        <v>45657</v>
      </c>
      <c r="AD18" s="1">
        <v>20</v>
      </c>
      <c r="AE18" s="1">
        <f t="shared" si="9"/>
        <v>0</v>
      </c>
      <c r="AF18" s="1">
        <f t="shared" si="10"/>
        <v>0</v>
      </c>
      <c r="AG18" s="1">
        <f t="shared" si="11"/>
        <v>0</v>
      </c>
      <c r="AH18" s="1">
        <f t="shared" si="12"/>
        <v>0</v>
      </c>
      <c r="AI18" s="1">
        <f t="shared" si="13"/>
        <v>183</v>
      </c>
      <c r="AJ18" s="3">
        <f t="shared" si="14"/>
        <v>0.5</v>
      </c>
      <c r="AK18" s="3">
        <f t="shared" si="15"/>
        <v>0.48365724381625441</v>
      </c>
      <c r="AL18" s="3">
        <f t="shared" si="16"/>
        <v>4.8365724381625439</v>
      </c>
      <c r="AM18" s="3">
        <f t="shared" si="17"/>
        <v>4.8365724381625439</v>
      </c>
      <c r="AN18" s="3">
        <f t="shared" si="18"/>
        <v>0</v>
      </c>
      <c r="AO18" s="3">
        <f t="shared" si="19"/>
        <v>4.8365724381625439</v>
      </c>
      <c r="AP18" s="1" t="str">
        <f>INDEX({"EAD";"EAD";"EAD";"EAD MOOC";"EAD";"EAD";"EAD FP";"EAD";"PRESENCIAL";"PRESENCIAL";"PRESENCIAL";"PRESENCIAL"}, MATCH(CONCATENATE(E18, ".", F18),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9" spans="1:42" x14ac:dyDescent="0.25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120</v>
      </c>
      <c r="F19" s="1" t="s">
        <v>21</v>
      </c>
      <c r="G19" s="1" t="s">
        <v>121</v>
      </c>
      <c r="H19" s="1" t="s">
        <v>106</v>
      </c>
      <c r="I19" s="1" t="s">
        <v>107</v>
      </c>
      <c r="J19" s="1" t="s">
        <v>108</v>
      </c>
      <c r="K19" s="1" t="s">
        <v>109</v>
      </c>
      <c r="L19" s="1">
        <v>2671147</v>
      </c>
      <c r="M19" s="1" t="s">
        <v>146</v>
      </c>
      <c r="N19" s="5">
        <f>DATE(2020,2,3)</f>
        <v>43864</v>
      </c>
      <c r="O19" s="5">
        <f>DATE(2024,12,18)</f>
        <v>45644</v>
      </c>
      <c r="P19" s="5">
        <f t="shared" si="0"/>
        <v>46739</v>
      </c>
      <c r="Q19" s="1">
        <v>4028</v>
      </c>
      <c r="R19" s="1">
        <v>3600</v>
      </c>
      <c r="S19" s="1">
        <f t="shared" si="1"/>
        <v>3600</v>
      </c>
      <c r="T19" s="1">
        <v>2.5</v>
      </c>
      <c r="U19" s="1" t="str">
        <f t="shared" si="2"/>
        <v>SIM</v>
      </c>
      <c r="V19" s="1">
        <f t="shared" si="3"/>
        <v>1781</v>
      </c>
      <c r="W19" s="4">
        <f t="shared" si="4"/>
        <v>2.0213363279056709</v>
      </c>
      <c r="X19" s="4">
        <f t="shared" si="5"/>
        <v>737.78775968556988</v>
      </c>
      <c r="Y19" s="4">
        <f t="shared" si="6"/>
        <v>0.92223469960696236</v>
      </c>
      <c r="AB19" s="5">
        <f t="shared" si="7"/>
        <v>45292</v>
      </c>
      <c r="AC19" s="5">
        <f t="shared" si="8"/>
        <v>45657</v>
      </c>
      <c r="AD19" s="1">
        <v>22</v>
      </c>
      <c r="AE19" s="1">
        <f t="shared" si="9"/>
        <v>0</v>
      </c>
      <c r="AF19" s="1">
        <f t="shared" si="10"/>
        <v>0</v>
      </c>
      <c r="AG19" s="1">
        <f t="shared" si="11"/>
        <v>353</v>
      </c>
      <c r="AH19" s="1">
        <f t="shared" si="12"/>
        <v>0</v>
      </c>
      <c r="AI19" s="1">
        <f t="shared" si="13"/>
        <v>0</v>
      </c>
      <c r="AJ19" s="3">
        <f t="shared" si="14"/>
        <v>0.96448087431693985</v>
      </c>
      <c r="AK19" s="3">
        <f t="shared" si="15"/>
        <v>0.88947772940234349</v>
      </c>
      <c r="AL19" s="3">
        <f t="shared" si="16"/>
        <v>19.568510046851557</v>
      </c>
      <c r="AM19" s="3">
        <f t="shared" si="17"/>
        <v>48.921275117128893</v>
      </c>
      <c r="AN19" s="3">
        <f t="shared" si="18"/>
        <v>24.460637558564446</v>
      </c>
      <c r="AO19" s="3">
        <f t="shared" si="19"/>
        <v>73.381912675693343</v>
      </c>
      <c r="AP19" s="1" t="str">
        <f>INDEX({"EAD";"EAD";"EAD";"EAD MOOC";"EAD";"EAD";"EAD FP";"EAD";"PRESENCIAL";"PRESENCIAL";"PRESENCIAL";"PRESENCIAL"}, MATCH(CONCATENATE(E19, ".", F19),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0" spans="1:42" x14ac:dyDescent="0.25">
      <c r="A20" s="1" t="s">
        <v>27</v>
      </c>
      <c r="B20" s="1" t="s">
        <v>28</v>
      </c>
      <c r="C20" s="1" t="s">
        <v>29</v>
      </c>
      <c r="D20" s="1" t="s">
        <v>30</v>
      </c>
      <c r="E20" s="1" t="s">
        <v>120</v>
      </c>
      <c r="F20" s="1" t="s">
        <v>21</v>
      </c>
      <c r="G20" s="1" t="s">
        <v>140</v>
      </c>
      <c r="H20" s="1" t="s">
        <v>141</v>
      </c>
      <c r="I20" s="1" t="s">
        <v>124</v>
      </c>
      <c r="J20" s="1" t="s">
        <v>125</v>
      </c>
      <c r="K20" s="1" t="s">
        <v>109</v>
      </c>
      <c r="L20" s="1">
        <v>2734114</v>
      </c>
      <c r="M20" s="1" t="s">
        <v>147</v>
      </c>
      <c r="N20" s="5">
        <f>DATE(2020,11,10)</f>
        <v>44145</v>
      </c>
      <c r="O20" s="5">
        <f>DATE(2022,11,30)</f>
        <v>44895</v>
      </c>
      <c r="P20" s="5">
        <f t="shared" si="0"/>
        <v>45990</v>
      </c>
      <c r="Q20" s="1">
        <v>1600</v>
      </c>
      <c r="R20" s="1">
        <v>1600</v>
      </c>
      <c r="S20" s="1">
        <f t="shared" si="1"/>
        <v>1600</v>
      </c>
      <c r="T20" s="1">
        <v>1</v>
      </c>
      <c r="U20" s="1" t="str">
        <f t="shared" si="2"/>
        <v>SIM</v>
      </c>
      <c r="V20" s="1">
        <f t="shared" si="3"/>
        <v>751</v>
      </c>
      <c r="W20" s="4">
        <f t="shared" si="4"/>
        <v>2.1304926764314249</v>
      </c>
      <c r="X20" s="4">
        <f t="shared" si="5"/>
        <v>777.62982689747014</v>
      </c>
      <c r="Y20" s="4">
        <f t="shared" si="6"/>
        <v>0.97203728362183772</v>
      </c>
      <c r="AB20" s="5">
        <f t="shared" si="7"/>
        <v>45292</v>
      </c>
      <c r="AC20" s="5">
        <f t="shared" si="8"/>
        <v>45657</v>
      </c>
      <c r="AD20" s="1">
        <v>15</v>
      </c>
      <c r="AE20" s="1">
        <f t="shared" si="9"/>
        <v>0</v>
      </c>
      <c r="AF20" s="1">
        <f t="shared" si="10"/>
        <v>0</v>
      </c>
      <c r="AG20" s="1">
        <f t="shared" si="11"/>
        <v>0</v>
      </c>
      <c r="AH20" s="1">
        <f t="shared" si="12"/>
        <v>0</v>
      </c>
      <c r="AI20" s="1">
        <f t="shared" si="13"/>
        <v>183</v>
      </c>
      <c r="AJ20" s="3">
        <f t="shared" si="14"/>
        <v>0.5</v>
      </c>
      <c r="AK20" s="3">
        <f t="shared" si="15"/>
        <v>0.48601864181091886</v>
      </c>
      <c r="AL20" s="3">
        <f t="shared" si="16"/>
        <v>3.6451398135818915</v>
      </c>
      <c r="AM20" s="3">
        <f t="shared" si="17"/>
        <v>3.6451398135818915</v>
      </c>
      <c r="AN20" s="3">
        <f t="shared" si="18"/>
        <v>0</v>
      </c>
      <c r="AO20" s="3">
        <f t="shared" si="19"/>
        <v>3.6451398135818915</v>
      </c>
      <c r="AP20" s="1" t="str">
        <f>INDEX({"EAD";"EAD";"EAD";"EAD MOOC";"EAD";"EAD";"EAD FP";"EAD";"PRESENCIAL";"PRESENCIAL";"PRESENCIAL";"PRESENCIAL"}, MATCH(CONCATENATE(E20, ".", F20),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1" spans="1:42" x14ac:dyDescent="0.25">
      <c r="A21" s="1" t="s">
        <v>27</v>
      </c>
      <c r="B21" s="1" t="s">
        <v>28</v>
      </c>
      <c r="C21" s="1" t="s">
        <v>29</v>
      </c>
      <c r="D21" s="1" t="s">
        <v>30</v>
      </c>
      <c r="E21" s="1" t="s">
        <v>120</v>
      </c>
      <c r="F21" s="1" t="s">
        <v>21</v>
      </c>
      <c r="G21" s="1" t="s">
        <v>128</v>
      </c>
      <c r="H21" s="1" t="s">
        <v>129</v>
      </c>
      <c r="I21" s="1" t="s">
        <v>124</v>
      </c>
      <c r="J21" s="1" t="s">
        <v>125</v>
      </c>
      <c r="K21" s="1" t="s">
        <v>130</v>
      </c>
      <c r="L21" s="1">
        <v>2753013</v>
      </c>
      <c r="M21" s="1" t="s">
        <v>148</v>
      </c>
      <c r="N21" s="5">
        <f>DATE(2021,4,19)</f>
        <v>44305</v>
      </c>
      <c r="O21" s="5">
        <f>DATE(2023,12,30)</f>
        <v>45290</v>
      </c>
      <c r="P21" s="5">
        <f t="shared" si="0"/>
        <v>46385</v>
      </c>
      <c r="Q21" s="1">
        <v>3486</v>
      </c>
      <c r="R21" s="1">
        <v>800</v>
      </c>
      <c r="S21" s="1">
        <f t="shared" si="1"/>
        <v>3000</v>
      </c>
      <c r="T21" s="1">
        <v>1.5</v>
      </c>
      <c r="U21" s="1" t="str">
        <f t="shared" si="2"/>
        <v>SIM</v>
      </c>
      <c r="V21" s="1">
        <f t="shared" si="3"/>
        <v>986</v>
      </c>
      <c r="W21" s="4">
        <f t="shared" si="4"/>
        <v>3.0425963488843815</v>
      </c>
      <c r="X21" s="4">
        <f t="shared" si="5"/>
        <v>1110.5476673427993</v>
      </c>
      <c r="Y21" s="4">
        <f t="shared" si="6"/>
        <v>1.3881845841784992</v>
      </c>
      <c r="AB21" s="5">
        <f t="shared" si="7"/>
        <v>45292</v>
      </c>
      <c r="AC21" s="5">
        <f t="shared" si="8"/>
        <v>45657</v>
      </c>
      <c r="AD21" s="1">
        <v>24</v>
      </c>
      <c r="AE21" s="1">
        <f t="shared" si="9"/>
        <v>0</v>
      </c>
      <c r="AF21" s="1">
        <f t="shared" si="10"/>
        <v>0</v>
      </c>
      <c r="AG21" s="1">
        <f t="shared" si="11"/>
        <v>0</v>
      </c>
      <c r="AH21" s="1">
        <f t="shared" si="12"/>
        <v>0</v>
      </c>
      <c r="AI21" s="1">
        <f t="shared" si="13"/>
        <v>183</v>
      </c>
      <c r="AJ21" s="3">
        <f t="shared" si="14"/>
        <v>0.5</v>
      </c>
      <c r="AK21" s="3">
        <f t="shared" si="15"/>
        <v>0.69409229208924961</v>
      </c>
      <c r="AL21" s="3">
        <f t="shared" si="16"/>
        <v>8.3291075050709953</v>
      </c>
      <c r="AM21" s="3">
        <f t="shared" si="17"/>
        <v>12.493661257606494</v>
      </c>
      <c r="AN21" s="3">
        <f t="shared" si="18"/>
        <v>0</v>
      </c>
      <c r="AO21" s="3">
        <f t="shared" si="19"/>
        <v>12.493661257606494</v>
      </c>
      <c r="AP21" s="1" t="str">
        <f>INDEX({"EAD";"EAD";"EAD";"EAD MOOC";"EAD";"EAD";"EAD FP";"EAD";"PRESENCIAL";"PRESENCIAL";"PRESENCIAL";"PRESENCIAL"}, MATCH(CONCATENATE(E21, ".", F21),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2" spans="1:42" x14ac:dyDescent="0.25">
      <c r="A22" s="1" t="s">
        <v>27</v>
      </c>
      <c r="B22" s="1" t="s">
        <v>28</v>
      </c>
      <c r="C22" s="1" t="s">
        <v>29</v>
      </c>
      <c r="D22" s="1" t="s">
        <v>30</v>
      </c>
      <c r="E22" s="1" t="s">
        <v>120</v>
      </c>
      <c r="F22" s="1" t="s">
        <v>21</v>
      </c>
      <c r="G22" s="1" t="s">
        <v>128</v>
      </c>
      <c r="H22" s="1" t="s">
        <v>132</v>
      </c>
      <c r="I22" s="1" t="s">
        <v>107</v>
      </c>
      <c r="J22" s="1" t="s">
        <v>108</v>
      </c>
      <c r="K22" s="1" t="s">
        <v>130</v>
      </c>
      <c r="L22" s="1">
        <v>2753017</v>
      </c>
      <c r="M22" s="1" t="s">
        <v>149</v>
      </c>
      <c r="N22" s="5">
        <f>DATE(2021,4,19)</f>
        <v>44305</v>
      </c>
      <c r="O22" s="5">
        <f>DATE(2023,12,30)</f>
        <v>45290</v>
      </c>
      <c r="P22" s="5">
        <f t="shared" si="0"/>
        <v>46385</v>
      </c>
      <c r="Q22" s="1">
        <v>3486</v>
      </c>
      <c r="R22" s="1">
        <v>1200</v>
      </c>
      <c r="S22" s="1">
        <f t="shared" si="1"/>
        <v>3200</v>
      </c>
      <c r="T22" s="1">
        <v>2.5</v>
      </c>
      <c r="U22" s="1" t="str">
        <f t="shared" si="2"/>
        <v>SIM</v>
      </c>
      <c r="V22" s="1">
        <f t="shared" si="3"/>
        <v>986</v>
      </c>
      <c r="W22" s="4">
        <f t="shared" si="4"/>
        <v>3.2454361054766734</v>
      </c>
      <c r="X22" s="4">
        <f t="shared" si="5"/>
        <v>1184.5841784989857</v>
      </c>
      <c r="Y22" s="4">
        <f t="shared" si="6"/>
        <v>1.480730223123732</v>
      </c>
      <c r="AB22" s="5">
        <f t="shared" si="7"/>
        <v>45292</v>
      </c>
      <c r="AC22" s="5">
        <f t="shared" si="8"/>
        <v>45657</v>
      </c>
      <c r="AD22" s="1">
        <v>59</v>
      </c>
      <c r="AE22" s="1">
        <f t="shared" si="9"/>
        <v>0</v>
      </c>
      <c r="AF22" s="1">
        <f t="shared" si="10"/>
        <v>0</v>
      </c>
      <c r="AG22" s="1">
        <f t="shared" si="11"/>
        <v>0</v>
      </c>
      <c r="AH22" s="1">
        <f t="shared" si="12"/>
        <v>0</v>
      </c>
      <c r="AI22" s="1">
        <f t="shared" si="13"/>
        <v>183</v>
      </c>
      <c r="AJ22" s="3">
        <f t="shared" si="14"/>
        <v>0.5</v>
      </c>
      <c r="AK22" s="3">
        <f t="shared" si="15"/>
        <v>0.74036511156186602</v>
      </c>
      <c r="AL22" s="3">
        <f t="shared" si="16"/>
        <v>21.840770791075048</v>
      </c>
      <c r="AM22" s="3">
        <f t="shared" si="17"/>
        <v>54.601926977687619</v>
      </c>
      <c r="AN22" s="3">
        <f t="shared" si="18"/>
        <v>27.300963488843809</v>
      </c>
      <c r="AO22" s="3">
        <f t="shared" si="19"/>
        <v>81.902890466531431</v>
      </c>
      <c r="AP22" s="1" t="str">
        <f>INDEX({"EAD";"EAD";"EAD";"EAD MOOC";"EAD";"EAD";"EAD FP";"EAD";"PRESENCIAL";"PRESENCIAL";"PRESENCIAL";"PRESENCIAL"}, MATCH(CONCATENATE(E22, ".", F22),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3" spans="1:42" x14ac:dyDescent="0.25">
      <c r="A23" s="1" t="s">
        <v>27</v>
      </c>
      <c r="B23" s="1" t="s">
        <v>28</v>
      </c>
      <c r="C23" s="1" t="s">
        <v>29</v>
      </c>
      <c r="D23" s="1" t="s">
        <v>30</v>
      </c>
      <c r="E23" s="1" t="s">
        <v>120</v>
      </c>
      <c r="F23" s="1" t="s">
        <v>21</v>
      </c>
      <c r="G23" s="1" t="s">
        <v>121</v>
      </c>
      <c r="H23" s="1" t="s">
        <v>106</v>
      </c>
      <c r="I23" s="1" t="s">
        <v>107</v>
      </c>
      <c r="J23" s="1" t="s">
        <v>108</v>
      </c>
      <c r="K23" s="1" t="s">
        <v>109</v>
      </c>
      <c r="L23" s="1">
        <v>2753035</v>
      </c>
      <c r="M23" s="1" t="s">
        <v>150</v>
      </c>
      <c r="N23" s="5">
        <f>DATE(2021,4,19)</f>
        <v>44305</v>
      </c>
      <c r="O23" s="5">
        <f>DATE(2025,12,30)</f>
        <v>46021</v>
      </c>
      <c r="P23" s="5">
        <f t="shared" si="0"/>
        <v>47116</v>
      </c>
      <c r="Q23" s="1">
        <v>4028</v>
      </c>
      <c r="R23" s="1">
        <v>3600</v>
      </c>
      <c r="S23" s="1">
        <f t="shared" si="1"/>
        <v>3600</v>
      </c>
      <c r="T23" s="1">
        <v>2.5</v>
      </c>
      <c r="U23" s="1" t="str">
        <f t="shared" si="2"/>
        <v>SIM</v>
      </c>
      <c r="V23" s="1">
        <f t="shared" si="3"/>
        <v>1717</v>
      </c>
      <c r="W23" s="4">
        <f t="shared" si="4"/>
        <v>2.0966802562609201</v>
      </c>
      <c r="X23" s="4">
        <f t="shared" si="5"/>
        <v>765.28829353523588</v>
      </c>
      <c r="Y23" s="4">
        <f t="shared" si="6"/>
        <v>0.95661036691904489</v>
      </c>
      <c r="AB23" s="5">
        <f t="shared" si="7"/>
        <v>45292</v>
      </c>
      <c r="AC23" s="5">
        <f t="shared" si="8"/>
        <v>45657</v>
      </c>
      <c r="AD23" s="1">
        <v>14</v>
      </c>
      <c r="AE23" s="1">
        <f t="shared" si="9"/>
        <v>366</v>
      </c>
      <c r="AF23" s="1">
        <f t="shared" si="10"/>
        <v>0</v>
      </c>
      <c r="AG23" s="1">
        <f t="shared" si="11"/>
        <v>0</v>
      </c>
      <c r="AH23" s="1">
        <f t="shared" si="12"/>
        <v>0</v>
      </c>
      <c r="AI23" s="1">
        <f t="shared" si="13"/>
        <v>0</v>
      </c>
      <c r="AJ23" s="3">
        <f t="shared" si="14"/>
        <v>1</v>
      </c>
      <c r="AK23" s="3">
        <f t="shared" si="15"/>
        <v>0.95661036691904489</v>
      </c>
      <c r="AL23" s="3">
        <f t="shared" si="16"/>
        <v>13.392545136866628</v>
      </c>
      <c r="AM23" s="3">
        <f t="shared" si="17"/>
        <v>33.481362842166568</v>
      </c>
      <c r="AN23" s="3">
        <f t="shared" si="18"/>
        <v>16.740681421083284</v>
      </c>
      <c r="AO23" s="3">
        <f t="shared" si="19"/>
        <v>50.222044263249856</v>
      </c>
      <c r="AP23" s="1" t="str">
        <f>INDEX({"EAD";"EAD";"EAD";"EAD MOOC";"EAD";"EAD";"EAD FP";"EAD";"PRESENCIAL";"PRESENCIAL";"PRESENCIAL";"PRESENCIAL"}, MATCH(CONCATENATE(E23, ".", F23),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4" spans="1:42" x14ac:dyDescent="0.25">
      <c r="A24" s="1" t="s">
        <v>27</v>
      </c>
      <c r="B24" s="1" t="s">
        <v>28</v>
      </c>
      <c r="C24" s="1" t="s">
        <v>29</v>
      </c>
      <c r="D24" s="1" t="s">
        <v>30</v>
      </c>
      <c r="E24" s="1" t="s">
        <v>120</v>
      </c>
      <c r="F24" s="1" t="s">
        <v>21</v>
      </c>
      <c r="G24" s="1" t="s">
        <v>121</v>
      </c>
      <c r="H24" s="1" t="s">
        <v>123</v>
      </c>
      <c r="I24" s="1" t="s">
        <v>124</v>
      </c>
      <c r="J24" s="1" t="s">
        <v>125</v>
      </c>
      <c r="K24" s="1" t="s">
        <v>109</v>
      </c>
      <c r="L24" s="1">
        <v>2753037</v>
      </c>
      <c r="M24" s="1" t="s">
        <v>151</v>
      </c>
      <c r="N24" s="5">
        <f>DATE(2021,4,19)</f>
        <v>44305</v>
      </c>
      <c r="O24" s="5">
        <f>DATE(2024,12,30)</f>
        <v>45656</v>
      </c>
      <c r="P24" s="5">
        <f t="shared" si="0"/>
        <v>46751</v>
      </c>
      <c r="Q24" s="1">
        <v>3120</v>
      </c>
      <c r="R24" s="1">
        <v>3000</v>
      </c>
      <c r="S24" s="1">
        <f t="shared" si="1"/>
        <v>3000</v>
      </c>
      <c r="T24" s="1">
        <v>1</v>
      </c>
      <c r="U24" s="1" t="str">
        <f t="shared" si="2"/>
        <v>SIM</v>
      </c>
      <c r="V24" s="1">
        <f t="shared" si="3"/>
        <v>1352</v>
      </c>
      <c r="W24" s="4">
        <f t="shared" si="4"/>
        <v>2.2189349112426036</v>
      </c>
      <c r="X24" s="4">
        <f t="shared" si="5"/>
        <v>809.91124260355025</v>
      </c>
      <c r="Y24" s="4">
        <f t="shared" si="6"/>
        <v>1.0123890532544377</v>
      </c>
      <c r="AB24" s="5">
        <f t="shared" si="7"/>
        <v>45292</v>
      </c>
      <c r="AC24" s="5">
        <f t="shared" si="8"/>
        <v>45657</v>
      </c>
      <c r="AD24" s="1">
        <v>29</v>
      </c>
      <c r="AE24" s="1">
        <f t="shared" si="9"/>
        <v>0</v>
      </c>
      <c r="AF24" s="1">
        <f t="shared" si="10"/>
        <v>0</v>
      </c>
      <c r="AG24" s="1">
        <f t="shared" si="11"/>
        <v>365</v>
      </c>
      <c r="AH24" s="1">
        <f t="shared" si="12"/>
        <v>0</v>
      </c>
      <c r="AI24" s="1">
        <f t="shared" si="13"/>
        <v>0</v>
      </c>
      <c r="AJ24" s="3">
        <f t="shared" si="14"/>
        <v>0.99726775956284153</v>
      </c>
      <c r="AK24" s="3">
        <f t="shared" si="15"/>
        <v>1.0096229629449993</v>
      </c>
      <c r="AL24" s="3">
        <f t="shared" si="16"/>
        <v>29.279065925404979</v>
      </c>
      <c r="AM24" s="3">
        <f t="shared" si="17"/>
        <v>29.279065925404979</v>
      </c>
      <c r="AN24" s="3">
        <f t="shared" si="18"/>
        <v>0</v>
      </c>
      <c r="AO24" s="3">
        <f t="shared" si="19"/>
        <v>29.279065925404979</v>
      </c>
      <c r="AP24" s="1" t="str">
        <f>INDEX({"EAD";"EAD";"EAD";"EAD MOOC";"EAD";"EAD";"EAD FP";"EAD";"PRESENCIAL";"PRESENCIAL";"PRESENCIAL";"PRESENCIAL"}, MATCH(CONCATENATE(E24, ".", F24),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5" spans="1:42" x14ac:dyDescent="0.25">
      <c r="A25" s="1" t="s">
        <v>27</v>
      </c>
      <c r="B25" s="1" t="s">
        <v>28</v>
      </c>
      <c r="C25" s="1" t="s">
        <v>29</v>
      </c>
      <c r="D25" s="1" t="s">
        <v>30</v>
      </c>
      <c r="E25" s="1" t="s">
        <v>120</v>
      </c>
      <c r="F25" s="1" t="s">
        <v>21</v>
      </c>
      <c r="G25" s="1" t="s">
        <v>121</v>
      </c>
      <c r="H25" s="1" t="s">
        <v>123</v>
      </c>
      <c r="I25" s="1" t="s">
        <v>124</v>
      </c>
      <c r="J25" s="1" t="s">
        <v>125</v>
      </c>
      <c r="K25" s="1" t="s">
        <v>109</v>
      </c>
      <c r="L25" s="1">
        <v>2759322</v>
      </c>
      <c r="M25" s="1" t="s">
        <v>152</v>
      </c>
      <c r="N25" s="5">
        <f>DATE(2021,4,19)</f>
        <v>44305</v>
      </c>
      <c r="O25" s="5">
        <f>DATE(2025,4,20)</f>
        <v>45767</v>
      </c>
      <c r="P25" s="5">
        <f t="shared" si="0"/>
        <v>46862</v>
      </c>
      <c r="Q25" s="1">
        <v>3120</v>
      </c>
      <c r="R25" s="1">
        <v>3000</v>
      </c>
      <c r="S25" s="1">
        <f t="shared" si="1"/>
        <v>3000</v>
      </c>
      <c r="T25" s="1">
        <v>1</v>
      </c>
      <c r="U25" s="1" t="str">
        <f t="shared" si="2"/>
        <v>SIM</v>
      </c>
      <c r="V25" s="1">
        <f t="shared" si="3"/>
        <v>1463</v>
      </c>
      <c r="W25" s="4">
        <f t="shared" si="4"/>
        <v>2.0505809979494192</v>
      </c>
      <c r="X25" s="4">
        <f t="shared" si="5"/>
        <v>748.46206425153798</v>
      </c>
      <c r="Y25" s="4">
        <f t="shared" si="6"/>
        <v>0.93557758031442251</v>
      </c>
      <c r="AB25" s="5">
        <f t="shared" si="7"/>
        <v>45292</v>
      </c>
      <c r="AC25" s="5">
        <f t="shared" si="8"/>
        <v>45657</v>
      </c>
      <c r="AD25" s="1">
        <v>1</v>
      </c>
      <c r="AE25" s="1">
        <f t="shared" si="9"/>
        <v>366</v>
      </c>
      <c r="AF25" s="1">
        <f t="shared" si="10"/>
        <v>0</v>
      </c>
      <c r="AG25" s="1">
        <f t="shared" si="11"/>
        <v>0</v>
      </c>
      <c r="AH25" s="1">
        <f t="shared" si="12"/>
        <v>0</v>
      </c>
      <c r="AI25" s="1">
        <f t="shared" si="13"/>
        <v>0</v>
      </c>
      <c r="AJ25" s="3">
        <f t="shared" si="14"/>
        <v>1</v>
      </c>
      <c r="AK25" s="3">
        <f t="shared" si="15"/>
        <v>0.93557758031442251</v>
      </c>
      <c r="AL25" s="3">
        <f t="shared" si="16"/>
        <v>0.93557758031442251</v>
      </c>
      <c r="AM25" s="3">
        <f t="shared" si="17"/>
        <v>0.93557758031442251</v>
      </c>
      <c r="AN25" s="3">
        <f t="shared" si="18"/>
        <v>0</v>
      </c>
      <c r="AO25" s="3">
        <f t="shared" si="19"/>
        <v>0.93557758031442251</v>
      </c>
      <c r="AP25" s="1" t="str">
        <f>INDEX({"EAD";"EAD";"EAD";"EAD MOOC";"EAD";"EAD";"EAD FP";"EAD";"PRESENCIAL";"PRESENCIAL";"PRESENCIAL";"PRESENCIAL"}, MATCH(CONCATENATE(E25, ".", F25),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6" spans="1:42" x14ac:dyDescent="0.25">
      <c r="A26" s="1" t="s">
        <v>27</v>
      </c>
      <c r="B26" s="1" t="s">
        <v>28</v>
      </c>
      <c r="C26" s="1" t="s">
        <v>29</v>
      </c>
      <c r="D26" s="1" t="s">
        <v>30</v>
      </c>
      <c r="E26" s="1" t="s">
        <v>120</v>
      </c>
      <c r="F26" s="1" t="s">
        <v>21</v>
      </c>
      <c r="G26" s="1" t="s">
        <v>140</v>
      </c>
      <c r="H26" s="1" t="s">
        <v>141</v>
      </c>
      <c r="I26" s="1" t="s">
        <v>124</v>
      </c>
      <c r="J26" s="1" t="s">
        <v>125</v>
      </c>
      <c r="K26" s="1" t="s">
        <v>109</v>
      </c>
      <c r="L26" s="1">
        <v>2791056</v>
      </c>
      <c r="M26" s="1" t="s">
        <v>153</v>
      </c>
      <c r="N26" s="5">
        <f>DATE(2021,9,13)</f>
        <v>44452</v>
      </c>
      <c r="O26" s="5">
        <f>DATE(2023,9,15)</f>
        <v>45184</v>
      </c>
      <c r="P26" s="5">
        <f t="shared" si="0"/>
        <v>46279</v>
      </c>
      <c r="Q26" s="1">
        <v>1600</v>
      </c>
      <c r="R26" s="1">
        <v>1600</v>
      </c>
      <c r="S26" s="1">
        <f t="shared" si="1"/>
        <v>1600</v>
      </c>
      <c r="T26" s="1">
        <v>1</v>
      </c>
      <c r="U26" s="1" t="str">
        <f t="shared" si="2"/>
        <v>SIM</v>
      </c>
      <c r="V26" s="1">
        <f t="shared" si="3"/>
        <v>733</v>
      </c>
      <c r="W26" s="4">
        <f t="shared" si="4"/>
        <v>2.1828103683492497</v>
      </c>
      <c r="X26" s="4">
        <f t="shared" si="5"/>
        <v>796.72578444747614</v>
      </c>
      <c r="Y26" s="4">
        <f t="shared" si="6"/>
        <v>0.99590723055934516</v>
      </c>
      <c r="AB26" s="5">
        <f t="shared" si="7"/>
        <v>45292</v>
      </c>
      <c r="AC26" s="5">
        <f t="shared" si="8"/>
        <v>45657</v>
      </c>
      <c r="AD26" s="1">
        <v>23</v>
      </c>
      <c r="AE26" s="1">
        <f t="shared" si="9"/>
        <v>0</v>
      </c>
      <c r="AF26" s="1">
        <f t="shared" si="10"/>
        <v>0</v>
      </c>
      <c r="AG26" s="1">
        <f t="shared" si="11"/>
        <v>0</v>
      </c>
      <c r="AH26" s="1">
        <f t="shared" si="12"/>
        <v>0</v>
      </c>
      <c r="AI26" s="1">
        <f t="shared" si="13"/>
        <v>183</v>
      </c>
      <c r="AJ26" s="3">
        <f t="shared" si="14"/>
        <v>0.5</v>
      </c>
      <c r="AK26" s="3">
        <f t="shared" si="15"/>
        <v>0.49795361527967258</v>
      </c>
      <c r="AL26" s="3">
        <f t="shared" si="16"/>
        <v>5.726466575716235</v>
      </c>
      <c r="AM26" s="3">
        <f t="shared" si="17"/>
        <v>5.726466575716235</v>
      </c>
      <c r="AN26" s="3">
        <f t="shared" si="18"/>
        <v>0</v>
      </c>
      <c r="AO26" s="3">
        <f t="shared" si="19"/>
        <v>5.726466575716235</v>
      </c>
      <c r="AP26" s="1" t="str">
        <f>INDEX({"EAD";"EAD";"EAD";"EAD MOOC";"EAD";"EAD";"EAD FP";"EAD";"PRESENCIAL";"PRESENCIAL";"PRESENCIAL";"PRESENCIAL"}, MATCH(CONCATENATE(E26, ".", F26),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7" spans="1:42" x14ac:dyDescent="0.25">
      <c r="A27" s="1" t="s">
        <v>27</v>
      </c>
      <c r="B27" s="1" t="s">
        <v>28</v>
      </c>
      <c r="C27" s="1" t="s">
        <v>29</v>
      </c>
      <c r="D27" s="1" t="s">
        <v>30</v>
      </c>
      <c r="E27" s="1" t="s">
        <v>120</v>
      </c>
      <c r="F27" s="1" t="s">
        <v>21</v>
      </c>
      <c r="G27" s="1" t="s">
        <v>121</v>
      </c>
      <c r="H27" s="1" t="s">
        <v>123</v>
      </c>
      <c r="I27" s="1" t="s">
        <v>124</v>
      </c>
      <c r="J27" s="1" t="s">
        <v>125</v>
      </c>
      <c r="K27" s="1" t="s">
        <v>109</v>
      </c>
      <c r="L27" s="1">
        <v>2801660</v>
      </c>
      <c r="M27" s="1" t="s">
        <v>154</v>
      </c>
      <c r="N27" s="5">
        <f>DATE(2021,9,13)</f>
        <v>44452</v>
      </c>
      <c r="O27" s="5">
        <f>DATE(2025,9,30)</f>
        <v>45930</v>
      </c>
      <c r="P27" s="5">
        <f t="shared" si="0"/>
        <v>47025</v>
      </c>
      <c r="Q27" s="1">
        <v>3120</v>
      </c>
      <c r="R27" s="1">
        <v>3000</v>
      </c>
      <c r="S27" s="1">
        <f t="shared" si="1"/>
        <v>3000</v>
      </c>
      <c r="T27" s="1">
        <v>1</v>
      </c>
      <c r="U27" s="1" t="str">
        <f t="shared" si="2"/>
        <v>SIM</v>
      </c>
      <c r="V27" s="1">
        <f t="shared" si="3"/>
        <v>1479</v>
      </c>
      <c r="W27" s="4">
        <f t="shared" si="4"/>
        <v>2.028397565922921</v>
      </c>
      <c r="X27" s="4">
        <f t="shared" si="5"/>
        <v>740.36511156186612</v>
      </c>
      <c r="Y27" s="4">
        <f t="shared" si="6"/>
        <v>0.92545638945233266</v>
      </c>
      <c r="AB27" s="5">
        <f t="shared" si="7"/>
        <v>45292</v>
      </c>
      <c r="AC27" s="5">
        <f t="shared" si="8"/>
        <v>45657</v>
      </c>
      <c r="AD27" s="1">
        <v>3</v>
      </c>
      <c r="AE27" s="1">
        <f t="shared" si="9"/>
        <v>366</v>
      </c>
      <c r="AF27" s="1">
        <f t="shared" si="10"/>
        <v>0</v>
      </c>
      <c r="AG27" s="1">
        <f t="shared" si="11"/>
        <v>0</v>
      </c>
      <c r="AH27" s="1">
        <f t="shared" si="12"/>
        <v>0</v>
      </c>
      <c r="AI27" s="1">
        <f t="shared" si="13"/>
        <v>0</v>
      </c>
      <c r="AJ27" s="3">
        <f t="shared" si="14"/>
        <v>1</v>
      </c>
      <c r="AK27" s="3">
        <f t="shared" si="15"/>
        <v>0.92545638945233266</v>
      </c>
      <c r="AL27" s="3">
        <f t="shared" si="16"/>
        <v>2.776369168356998</v>
      </c>
      <c r="AM27" s="3">
        <f t="shared" si="17"/>
        <v>2.776369168356998</v>
      </c>
      <c r="AN27" s="3">
        <f t="shared" si="18"/>
        <v>0</v>
      </c>
      <c r="AO27" s="3">
        <f t="shared" si="19"/>
        <v>2.776369168356998</v>
      </c>
      <c r="AP27" s="1" t="str">
        <f>INDEX({"EAD";"EAD";"EAD";"EAD MOOC";"EAD";"EAD";"EAD FP";"EAD";"PRESENCIAL";"PRESENCIAL";"PRESENCIAL";"PRESENCIAL"}, MATCH(CONCATENATE(E27, ".", F27),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8" spans="1:42" x14ac:dyDescent="0.25">
      <c r="A28" s="1" t="s">
        <v>27</v>
      </c>
      <c r="B28" s="1" t="s">
        <v>28</v>
      </c>
      <c r="C28" s="1" t="s">
        <v>29</v>
      </c>
      <c r="D28" s="1" t="s">
        <v>30</v>
      </c>
      <c r="E28" s="1" t="s">
        <v>120</v>
      </c>
      <c r="F28" s="1" t="s">
        <v>21</v>
      </c>
      <c r="G28" s="1" t="s">
        <v>140</v>
      </c>
      <c r="H28" s="1" t="s">
        <v>141</v>
      </c>
      <c r="I28" s="1" t="s">
        <v>124</v>
      </c>
      <c r="J28" s="1" t="s">
        <v>125</v>
      </c>
      <c r="K28" s="1" t="s">
        <v>109</v>
      </c>
      <c r="L28" s="1">
        <v>2801663</v>
      </c>
      <c r="M28" s="1" t="s">
        <v>155</v>
      </c>
      <c r="N28" s="5">
        <f>DATE(2021,9,13)</f>
        <v>44452</v>
      </c>
      <c r="O28" s="5">
        <f>DATE(2023,9,30)</f>
        <v>45199</v>
      </c>
      <c r="P28" s="5">
        <f t="shared" si="0"/>
        <v>46294</v>
      </c>
      <c r="Q28" s="1">
        <v>1600</v>
      </c>
      <c r="R28" s="1">
        <v>1600</v>
      </c>
      <c r="S28" s="1">
        <f t="shared" si="1"/>
        <v>1600</v>
      </c>
      <c r="T28" s="1">
        <v>1</v>
      </c>
      <c r="U28" s="1" t="str">
        <f t="shared" si="2"/>
        <v>SIM</v>
      </c>
      <c r="V28" s="1">
        <f t="shared" si="3"/>
        <v>748</v>
      </c>
      <c r="W28" s="4">
        <f t="shared" si="4"/>
        <v>2.1390374331550803</v>
      </c>
      <c r="X28" s="4">
        <f t="shared" si="5"/>
        <v>780.74866310160428</v>
      </c>
      <c r="Y28" s="4">
        <f t="shared" si="6"/>
        <v>0.97593582887700536</v>
      </c>
      <c r="AB28" s="5">
        <f t="shared" si="7"/>
        <v>45292</v>
      </c>
      <c r="AC28" s="5">
        <f t="shared" si="8"/>
        <v>45657</v>
      </c>
      <c r="AD28" s="1">
        <v>1</v>
      </c>
      <c r="AE28" s="1">
        <f t="shared" si="9"/>
        <v>0</v>
      </c>
      <c r="AF28" s="1">
        <f t="shared" si="10"/>
        <v>0</v>
      </c>
      <c r="AG28" s="1">
        <f t="shared" si="11"/>
        <v>0</v>
      </c>
      <c r="AH28" s="1">
        <f t="shared" si="12"/>
        <v>0</v>
      </c>
      <c r="AI28" s="1">
        <f t="shared" si="13"/>
        <v>183</v>
      </c>
      <c r="AJ28" s="3">
        <f t="shared" si="14"/>
        <v>0.5</v>
      </c>
      <c r="AK28" s="3">
        <f t="shared" si="15"/>
        <v>0.48796791443850268</v>
      </c>
      <c r="AL28" s="3">
        <f t="shared" si="16"/>
        <v>0.24398395721925134</v>
      </c>
      <c r="AM28" s="3">
        <f t="shared" si="17"/>
        <v>0.24398395721925134</v>
      </c>
      <c r="AN28" s="3">
        <f t="shared" si="18"/>
        <v>0</v>
      </c>
      <c r="AO28" s="3">
        <f t="shared" si="19"/>
        <v>0.24398395721925134</v>
      </c>
      <c r="AP28" s="1" t="str">
        <f>INDEX({"EAD";"EAD";"EAD";"EAD MOOC";"EAD";"EAD";"EAD FP";"EAD";"PRESENCIAL";"PRESENCIAL";"PRESENCIAL";"PRESENCIAL"}, MATCH(CONCATENATE(E28, ".", F28),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9" spans="1:42" x14ac:dyDescent="0.25">
      <c r="A29" s="1" t="s">
        <v>27</v>
      </c>
      <c r="B29" s="1" t="s">
        <v>28</v>
      </c>
      <c r="C29" s="1" t="s">
        <v>29</v>
      </c>
      <c r="D29" s="1" t="s">
        <v>30</v>
      </c>
      <c r="E29" s="1" t="s">
        <v>120</v>
      </c>
      <c r="F29" s="1" t="s">
        <v>21</v>
      </c>
      <c r="G29" s="1" t="s">
        <v>128</v>
      </c>
      <c r="H29" s="1" t="s">
        <v>129</v>
      </c>
      <c r="I29" s="1" t="s">
        <v>124</v>
      </c>
      <c r="J29" s="1" t="s">
        <v>125</v>
      </c>
      <c r="K29" s="1" t="s">
        <v>130</v>
      </c>
      <c r="L29" s="1">
        <v>2833841</v>
      </c>
      <c r="M29" s="1" t="s">
        <v>156</v>
      </c>
      <c r="N29" s="5">
        <f>DATE(2022,3,14)</f>
        <v>44634</v>
      </c>
      <c r="O29" s="5">
        <f>DATE(2025,2,17)</f>
        <v>45705</v>
      </c>
      <c r="P29" s="5">
        <f t="shared" si="0"/>
        <v>46800</v>
      </c>
      <c r="Q29" s="1">
        <v>3486</v>
      </c>
      <c r="R29" s="1">
        <v>800</v>
      </c>
      <c r="S29" s="1">
        <f t="shared" si="1"/>
        <v>3000</v>
      </c>
      <c r="T29" s="1">
        <v>1.5</v>
      </c>
      <c r="U29" s="1" t="str">
        <f t="shared" si="2"/>
        <v>SIM</v>
      </c>
      <c r="V29" s="1">
        <f t="shared" si="3"/>
        <v>1072</v>
      </c>
      <c r="W29" s="4">
        <f t="shared" si="4"/>
        <v>2.7985074626865671</v>
      </c>
      <c r="X29" s="4">
        <f t="shared" si="5"/>
        <v>1021.455223880597</v>
      </c>
      <c r="Y29" s="4">
        <f t="shared" si="6"/>
        <v>1.2768190298507462</v>
      </c>
      <c r="AB29" s="5">
        <f t="shared" si="7"/>
        <v>45292</v>
      </c>
      <c r="AC29" s="5">
        <f t="shared" si="8"/>
        <v>45657</v>
      </c>
      <c r="AD29" s="1">
        <v>49</v>
      </c>
      <c r="AE29" s="1">
        <f t="shared" si="9"/>
        <v>366</v>
      </c>
      <c r="AF29" s="1">
        <f t="shared" si="10"/>
        <v>0</v>
      </c>
      <c r="AG29" s="1">
        <f t="shared" si="11"/>
        <v>0</v>
      </c>
      <c r="AH29" s="1">
        <f t="shared" si="12"/>
        <v>0</v>
      </c>
      <c r="AI29" s="1">
        <f t="shared" si="13"/>
        <v>0</v>
      </c>
      <c r="AJ29" s="3">
        <f t="shared" si="14"/>
        <v>1</v>
      </c>
      <c r="AK29" s="3">
        <f t="shared" si="15"/>
        <v>1.2768190298507462</v>
      </c>
      <c r="AL29" s="3">
        <f t="shared" si="16"/>
        <v>62.564132462686565</v>
      </c>
      <c r="AM29" s="3">
        <f t="shared" si="17"/>
        <v>93.846198694029852</v>
      </c>
      <c r="AN29" s="3">
        <f t="shared" si="18"/>
        <v>0</v>
      </c>
      <c r="AO29" s="3">
        <f t="shared" si="19"/>
        <v>93.846198694029852</v>
      </c>
      <c r="AP29" s="1" t="str">
        <f>INDEX({"EAD";"EAD";"EAD";"EAD MOOC";"EAD";"EAD";"EAD FP";"EAD";"PRESENCIAL";"PRESENCIAL";"PRESENCIAL";"PRESENCIAL"}, MATCH(CONCATENATE(E29, ".", F29),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0" spans="1:42" x14ac:dyDescent="0.25">
      <c r="A30" s="1" t="s">
        <v>27</v>
      </c>
      <c r="B30" s="1" t="s">
        <v>28</v>
      </c>
      <c r="C30" s="1" t="s">
        <v>29</v>
      </c>
      <c r="D30" s="1" t="s">
        <v>30</v>
      </c>
      <c r="E30" s="1" t="s">
        <v>120</v>
      </c>
      <c r="F30" s="1" t="s">
        <v>21</v>
      </c>
      <c r="G30" s="1" t="s">
        <v>128</v>
      </c>
      <c r="H30" s="1" t="s">
        <v>132</v>
      </c>
      <c r="I30" s="1" t="s">
        <v>107</v>
      </c>
      <c r="J30" s="1" t="s">
        <v>108</v>
      </c>
      <c r="K30" s="1" t="s">
        <v>130</v>
      </c>
      <c r="L30" s="1">
        <v>2833842</v>
      </c>
      <c r="M30" s="1" t="s">
        <v>157</v>
      </c>
      <c r="N30" s="5">
        <f>DATE(2022,3,14)</f>
        <v>44634</v>
      </c>
      <c r="O30" s="5">
        <f>DATE(2025,2,17)</f>
        <v>45705</v>
      </c>
      <c r="P30" s="5">
        <f t="shared" si="0"/>
        <v>46800</v>
      </c>
      <c r="Q30" s="1">
        <v>3486</v>
      </c>
      <c r="R30" s="1">
        <v>1200</v>
      </c>
      <c r="S30" s="1">
        <f t="shared" si="1"/>
        <v>3200</v>
      </c>
      <c r="T30" s="1">
        <v>2.5</v>
      </c>
      <c r="U30" s="1" t="str">
        <f t="shared" si="2"/>
        <v>SIM</v>
      </c>
      <c r="V30" s="1">
        <f t="shared" si="3"/>
        <v>1072</v>
      </c>
      <c r="W30" s="4">
        <f t="shared" si="4"/>
        <v>2.9850746268656718</v>
      </c>
      <c r="X30" s="4">
        <f t="shared" si="5"/>
        <v>1089.5522388059703</v>
      </c>
      <c r="Y30" s="4">
        <f t="shared" si="6"/>
        <v>1.3619402985074629</v>
      </c>
      <c r="AB30" s="5">
        <f t="shared" si="7"/>
        <v>45292</v>
      </c>
      <c r="AC30" s="5">
        <f t="shared" si="8"/>
        <v>45657</v>
      </c>
      <c r="AD30" s="1">
        <v>70</v>
      </c>
      <c r="AE30" s="1">
        <f t="shared" si="9"/>
        <v>366</v>
      </c>
      <c r="AF30" s="1">
        <f t="shared" si="10"/>
        <v>0</v>
      </c>
      <c r="AG30" s="1">
        <f t="shared" si="11"/>
        <v>0</v>
      </c>
      <c r="AH30" s="1">
        <f t="shared" si="12"/>
        <v>0</v>
      </c>
      <c r="AI30" s="1">
        <f t="shared" si="13"/>
        <v>0</v>
      </c>
      <c r="AJ30" s="3">
        <f t="shared" si="14"/>
        <v>1</v>
      </c>
      <c r="AK30" s="3">
        <f t="shared" si="15"/>
        <v>1.3619402985074629</v>
      </c>
      <c r="AL30" s="3">
        <f t="shared" si="16"/>
        <v>95.335820895522403</v>
      </c>
      <c r="AM30" s="3">
        <f t="shared" si="17"/>
        <v>238.33955223880599</v>
      </c>
      <c r="AN30" s="3">
        <f t="shared" si="18"/>
        <v>119.169776119403</v>
      </c>
      <c r="AO30" s="3">
        <f t="shared" si="19"/>
        <v>357.50932835820902</v>
      </c>
      <c r="AP30" s="1" t="str">
        <f>INDEX({"EAD";"EAD";"EAD";"EAD MOOC";"EAD";"EAD";"EAD FP";"EAD";"PRESENCIAL";"PRESENCIAL";"PRESENCIAL";"PRESENCIAL"}, MATCH(CONCATENATE(E30, ".", F30),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1" spans="1:42" x14ac:dyDescent="0.25">
      <c r="A31" s="1" t="s">
        <v>27</v>
      </c>
      <c r="B31" s="1" t="s">
        <v>28</v>
      </c>
      <c r="C31" s="1" t="s">
        <v>29</v>
      </c>
      <c r="D31" s="1" t="s">
        <v>30</v>
      </c>
      <c r="E31" s="1" t="s">
        <v>120</v>
      </c>
      <c r="F31" s="1" t="s">
        <v>21</v>
      </c>
      <c r="G31" s="1" t="s">
        <v>121</v>
      </c>
      <c r="H31" s="1" t="s">
        <v>123</v>
      </c>
      <c r="I31" s="1" t="s">
        <v>124</v>
      </c>
      <c r="J31" s="1" t="s">
        <v>125</v>
      </c>
      <c r="K31" s="1" t="s">
        <v>109</v>
      </c>
      <c r="L31" s="1">
        <v>2833843</v>
      </c>
      <c r="M31" s="1" t="s">
        <v>158</v>
      </c>
      <c r="N31" s="5">
        <f>DATE(2022,3,14)</f>
        <v>44634</v>
      </c>
      <c r="O31" s="5">
        <f>DATE(2026,2,17)</f>
        <v>46070</v>
      </c>
      <c r="P31" s="5">
        <f t="shared" si="0"/>
        <v>47165</v>
      </c>
      <c r="Q31" s="1">
        <v>3120</v>
      </c>
      <c r="R31" s="1">
        <v>3000</v>
      </c>
      <c r="S31" s="1">
        <f t="shared" si="1"/>
        <v>3000</v>
      </c>
      <c r="T31" s="1">
        <v>1</v>
      </c>
      <c r="U31" s="1" t="str">
        <f t="shared" si="2"/>
        <v>SIM</v>
      </c>
      <c r="V31" s="1">
        <f t="shared" si="3"/>
        <v>1437</v>
      </c>
      <c r="W31" s="4">
        <f t="shared" si="4"/>
        <v>2.0876826722338206</v>
      </c>
      <c r="X31" s="4">
        <f t="shared" si="5"/>
        <v>762.00417536534451</v>
      </c>
      <c r="Y31" s="4">
        <f t="shared" si="6"/>
        <v>0.95250521920668063</v>
      </c>
      <c r="AB31" s="5">
        <f t="shared" si="7"/>
        <v>45292</v>
      </c>
      <c r="AC31" s="5">
        <f t="shared" si="8"/>
        <v>45657</v>
      </c>
      <c r="AD31" s="1">
        <v>26</v>
      </c>
      <c r="AE31" s="1">
        <f t="shared" si="9"/>
        <v>366</v>
      </c>
      <c r="AF31" s="1">
        <f t="shared" si="10"/>
        <v>0</v>
      </c>
      <c r="AG31" s="1">
        <f t="shared" si="11"/>
        <v>0</v>
      </c>
      <c r="AH31" s="1">
        <f t="shared" si="12"/>
        <v>0</v>
      </c>
      <c r="AI31" s="1">
        <f t="shared" si="13"/>
        <v>0</v>
      </c>
      <c r="AJ31" s="3">
        <f t="shared" si="14"/>
        <v>1</v>
      </c>
      <c r="AK31" s="3">
        <f t="shared" si="15"/>
        <v>0.95250521920668063</v>
      </c>
      <c r="AL31" s="3">
        <f t="shared" si="16"/>
        <v>24.765135699373698</v>
      </c>
      <c r="AM31" s="3">
        <f t="shared" si="17"/>
        <v>24.765135699373698</v>
      </c>
      <c r="AN31" s="3">
        <f t="shared" si="18"/>
        <v>0</v>
      </c>
      <c r="AO31" s="3">
        <f t="shared" si="19"/>
        <v>24.765135699373698</v>
      </c>
      <c r="AP31" s="1" t="str">
        <f>INDEX({"EAD";"EAD";"EAD";"EAD MOOC";"EAD";"EAD";"EAD FP";"EAD";"PRESENCIAL";"PRESENCIAL";"PRESENCIAL";"PRESENCIAL"}, MATCH(CONCATENATE(E31, ".", F31),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2" spans="1:42" x14ac:dyDescent="0.25">
      <c r="A32" s="1" t="s">
        <v>27</v>
      </c>
      <c r="B32" s="1" t="s">
        <v>28</v>
      </c>
      <c r="C32" s="1" t="s">
        <v>29</v>
      </c>
      <c r="D32" s="1" t="s">
        <v>30</v>
      </c>
      <c r="E32" s="1" t="s">
        <v>120</v>
      </c>
      <c r="F32" s="1" t="s">
        <v>21</v>
      </c>
      <c r="G32" s="1" t="s">
        <v>121</v>
      </c>
      <c r="H32" s="1" t="s">
        <v>106</v>
      </c>
      <c r="I32" s="1" t="s">
        <v>107</v>
      </c>
      <c r="J32" s="1" t="s">
        <v>108</v>
      </c>
      <c r="K32" s="1" t="s">
        <v>109</v>
      </c>
      <c r="L32" s="1">
        <v>2833844</v>
      </c>
      <c r="M32" s="1" t="s">
        <v>159</v>
      </c>
      <c r="N32" s="5">
        <f>DATE(2022,3,14)</f>
        <v>44634</v>
      </c>
      <c r="O32" s="5">
        <f>DATE(2027,2,17)</f>
        <v>46435</v>
      </c>
      <c r="P32" s="5">
        <f t="shared" si="0"/>
        <v>47530</v>
      </c>
      <c r="Q32" s="1">
        <v>4028</v>
      </c>
      <c r="R32" s="1">
        <v>3600</v>
      </c>
      <c r="S32" s="1">
        <f t="shared" si="1"/>
        <v>3600</v>
      </c>
      <c r="T32" s="1">
        <v>2.5</v>
      </c>
      <c r="U32" s="1" t="str">
        <f t="shared" si="2"/>
        <v>SIM</v>
      </c>
      <c r="V32" s="1">
        <f t="shared" si="3"/>
        <v>1802</v>
      </c>
      <c r="W32" s="4">
        <f t="shared" si="4"/>
        <v>1.9977802441731409</v>
      </c>
      <c r="X32" s="4">
        <f t="shared" si="5"/>
        <v>729.18978912319642</v>
      </c>
      <c r="Y32" s="4">
        <f t="shared" si="6"/>
        <v>0.91148723640399554</v>
      </c>
      <c r="AB32" s="5">
        <f t="shared" si="7"/>
        <v>45292</v>
      </c>
      <c r="AC32" s="5">
        <f t="shared" si="8"/>
        <v>45657</v>
      </c>
      <c r="AD32" s="1">
        <v>5</v>
      </c>
      <c r="AE32" s="1">
        <f t="shared" si="9"/>
        <v>366</v>
      </c>
      <c r="AF32" s="1">
        <f t="shared" si="10"/>
        <v>0</v>
      </c>
      <c r="AG32" s="1">
        <f t="shared" si="11"/>
        <v>0</v>
      </c>
      <c r="AH32" s="1">
        <f t="shared" si="12"/>
        <v>0</v>
      </c>
      <c r="AI32" s="1">
        <f t="shared" si="13"/>
        <v>0</v>
      </c>
      <c r="AJ32" s="3">
        <f t="shared" si="14"/>
        <v>1</v>
      </c>
      <c r="AK32" s="3">
        <f t="shared" si="15"/>
        <v>0.91148723640399554</v>
      </c>
      <c r="AL32" s="3">
        <f t="shared" si="16"/>
        <v>4.5574361820199778</v>
      </c>
      <c r="AM32" s="3">
        <f t="shared" si="17"/>
        <v>11.393590455049944</v>
      </c>
      <c r="AN32" s="3">
        <f t="shared" si="18"/>
        <v>5.696795227524972</v>
      </c>
      <c r="AO32" s="3">
        <f t="shared" si="19"/>
        <v>17.090385682574915</v>
      </c>
      <c r="AP32" s="1" t="str">
        <f>INDEX({"EAD";"EAD";"EAD";"EAD MOOC";"EAD";"EAD";"EAD FP";"EAD";"PRESENCIAL";"PRESENCIAL";"PRESENCIAL";"PRESENCIAL"}, MATCH(CONCATENATE(E32, ".", F32),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3" spans="1:42" x14ac:dyDescent="0.25">
      <c r="A33" s="1" t="s">
        <v>27</v>
      </c>
      <c r="B33" s="1" t="s">
        <v>28</v>
      </c>
      <c r="C33" s="1" t="s">
        <v>29</v>
      </c>
      <c r="D33" s="1" t="s">
        <v>30</v>
      </c>
      <c r="E33" s="1" t="s">
        <v>120</v>
      </c>
      <c r="F33" s="1" t="s">
        <v>21</v>
      </c>
      <c r="G33" s="1" t="s">
        <v>121</v>
      </c>
      <c r="H33" s="1" t="s">
        <v>123</v>
      </c>
      <c r="I33" s="1" t="s">
        <v>124</v>
      </c>
      <c r="J33" s="1" t="s">
        <v>125</v>
      </c>
      <c r="K33" s="1" t="s">
        <v>109</v>
      </c>
      <c r="L33" s="1">
        <v>2857476</v>
      </c>
      <c r="M33" s="1" t="s">
        <v>160</v>
      </c>
      <c r="N33" s="5">
        <f>DATE(2022,3,14)</f>
        <v>44634</v>
      </c>
      <c r="O33" s="5">
        <f>DATE(2026,2,28)</f>
        <v>46081</v>
      </c>
      <c r="P33" s="5">
        <f t="shared" si="0"/>
        <v>47176</v>
      </c>
      <c r="Q33" s="1">
        <v>3040</v>
      </c>
      <c r="R33" s="1">
        <v>3000</v>
      </c>
      <c r="S33" s="1">
        <f t="shared" si="1"/>
        <v>3000</v>
      </c>
      <c r="T33" s="1">
        <v>1</v>
      </c>
      <c r="U33" s="1" t="str">
        <f t="shared" si="2"/>
        <v>SIM</v>
      </c>
      <c r="V33" s="1">
        <f t="shared" si="3"/>
        <v>1448</v>
      </c>
      <c r="W33" s="4">
        <f t="shared" si="4"/>
        <v>2.0718232044198897</v>
      </c>
      <c r="X33" s="4">
        <f t="shared" si="5"/>
        <v>756.21546961325976</v>
      </c>
      <c r="Y33" s="4">
        <f t="shared" si="6"/>
        <v>0.94526933701657467</v>
      </c>
      <c r="AB33" s="5">
        <f t="shared" si="7"/>
        <v>45292</v>
      </c>
      <c r="AC33" s="5">
        <f t="shared" si="8"/>
        <v>45657</v>
      </c>
      <c r="AD33" s="1">
        <v>1</v>
      </c>
      <c r="AE33" s="1">
        <f t="shared" si="9"/>
        <v>366</v>
      </c>
      <c r="AF33" s="1">
        <f t="shared" si="10"/>
        <v>0</v>
      </c>
      <c r="AG33" s="1">
        <f t="shared" si="11"/>
        <v>0</v>
      </c>
      <c r="AH33" s="1">
        <f t="shared" si="12"/>
        <v>0</v>
      </c>
      <c r="AI33" s="1">
        <f t="shared" si="13"/>
        <v>0</v>
      </c>
      <c r="AJ33" s="3">
        <f t="shared" si="14"/>
        <v>1</v>
      </c>
      <c r="AK33" s="3">
        <f t="shared" si="15"/>
        <v>0.94526933701657467</v>
      </c>
      <c r="AL33" s="3">
        <f t="shared" si="16"/>
        <v>0.94526933701657467</v>
      </c>
      <c r="AM33" s="3">
        <f t="shared" si="17"/>
        <v>0.94526933701657467</v>
      </c>
      <c r="AN33" s="3">
        <f t="shared" si="18"/>
        <v>0</v>
      </c>
      <c r="AO33" s="3">
        <f t="shared" si="19"/>
        <v>0.94526933701657467</v>
      </c>
      <c r="AP33" s="1" t="str">
        <f>INDEX({"EAD";"EAD";"EAD";"EAD MOOC";"EAD";"EAD";"EAD FP";"EAD";"PRESENCIAL";"PRESENCIAL";"PRESENCIAL";"PRESENCIAL"}, MATCH(CONCATENATE(E33, ".", F33),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4" spans="1:42" x14ac:dyDescent="0.25">
      <c r="A34" s="1" t="s">
        <v>27</v>
      </c>
      <c r="B34" s="1" t="s">
        <v>28</v>
      </c>
      <c r="C34" s="1" t="s">
        <v>29</v>
      </c>
      <c r="D34" s="1" t="s">
        <v>30</v>
      </c>
      <c r="E34" s="1" t="s">
        <v>120</v>
      </c>
      <c r="F34" s="1" t="s">
        <v>21</v>
      </c>
      <c r="G34" s="1" t="s">
        <v>161</v>
      </c>
      <c r="H34" s="1" t="s">
        <v>162</v>
      </c>
      <c r="I34" s="1" t="s">
        <v>124</v>
      </c>
      <c r="J34" s="1" t="s">
        <v>125</v>
      </c>
      <c r="K34" s="1" t="s">
        <v>163</v>
      </c>
      <c r="L34" s="1">
        <v>2942376</v>
      </c>
      <c r="M34" s="1" t="s">
        <v>164</v>
      </c>
      <c r="N34" s="5">
        <f>DATE(2022,8,1)</f>
        <v>44774</v>
      </c>
      <c r="O34" s="5">
        <f>DATE(2024,6,30)</f>
        <v>45473</v>
      </c>
      <c r="P34" s="5">
        <f t="shared" si="0"/>
        <v>45473</v>
      </c>
      <c r="Q34" s="1">
        <v>200</v>
      </c>
      <c r="R34" s="1">
        <v>1600</v>
      </c>
      <c r="S34" s="1">
        <f t="shared" si="1"/>
        <v>200</v>
      </c>
      <c r="T34" s="1">
        <v>1</v>
      </c>
      <c r="U34" s="1" t="str">
        <f t="shared" si="2"/>
        <v>SIM</v>
      </c>
      <c r="V34" s="1">
        <f t="shared" si="3"/>
        <v>700</v>
      </c>
      <c r="W34" s="4">
        <f t="shared" si="4"/>
        <v>0.2857142857142857</v>
      </c>
      <c r="X34" s="4">
        <f t="shared" si="5"/>
        <v>104.28571428571428</v>
      </c>
      <c r="Y34" s="4">
        <f t="shared" si="6"/>
        <v>0.13035714285714284</v>
      </c>
      <c r="AB34" s="5">
        <f t="shared" si="7"/>
        <v>45292</v>
      </c>
      <c r="AC34" s="5">
        <f t="shared" si="8"/>
        <v>45657</v>
      </c>
      <c r="AD34" s="1">
        <v>39</v>
      </c>
      <c r="AE34" s="1">
        <f t="shared" si="9"/>
        <v>0</v>
      </c>
      <c r="AF34" s="1">
        <f t="shared" si="10"/>
        <v>0</v>
      </c>
      <c r="AG34" s="1">
        <f t="shared" si="11"/>
        <v>182</v>
      </c>
      <c r="AH34" s="1">
        <f t="shared" si="12"/>
        <v>0</v>
      </c>
      <c r="AI34" s="1">
        <f t="shared" si="13"/>
        <v>0</v>
      </c>
      <c r="AJ34" s="3">
        <f t="shared" si="14"/>
        <v>0.49726775956284153</v>
      </c>
      <c r="AK34" s="3">
        <f t="shared" si="15"/>
        <v>6.4822404371584694E-2</v>
      </c>
      <c r="AL34" s="3">
        <f t="shared" si="16"/>
        <v>2.5280737704918033</v>
      </c>
      <c r="AM34" s="3">
        <f t="shared" si="17"/>
        <v>2.5280737704918033</v>
      </c>
      <c r="AN34" s="3">
        <f t="shared" si="18"/>
        <v>0</v>
      </c>
      <c r="AO34" s="3">
        <f t="shared" si="19"/>
        <v>2.5280737704918033</v>
      </c>
      <c r="AP34" s="1" t="str">
        <f>INDEX({"EAD";"EAD";"EAD";"EAD MOOC";"EAD";"EAD";"EAD FP";"EAD";"PRESENCIAL";"PRESENCIAL";"PRESENCIAL";"PRESENCIAL"}, MATCH(CONCATENATE(E34, ".", F34),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5" spans="1:42" x14ac:dyDescent="0.25">
      <c r="A35" s="1" t="s">
        <v>27</v>
      </c>
      <c r="B35" s="1" t="s">
        <v>28</v>
      </c>
      <c r="C35" s="1" t="s">
        <v>29</v>
      </c>
      <c r="D35" s="1" t="s">
        <v>30</v>
      </c>
      <c r="E35" s="1" t="s">
        <v>120</v>
      </c>
      <c r="F35" s="1" t="s">
        <v>21</v>
      </c>
      <c r="G35" s="1" t="s">
        <v>140</v>
      </c>
      <c r="H35" s="1" t="s">
        <v>141</v>
      </c>
      <c r="I35" s="1" t="s">
        <v>124</v>
      </c>
      <c r="J35" s="1" t="s">
        <v>125</v>
      </c>
      <c r="K35" s="1" t="s">
        <v>109</v>
      </c>
      <c r="L35" s="1">
        <v>2902225</v>
      </c>
      <c r="M35" s="1" t="s">
        <v>165</v>
      </c>
      <c r="N35" s="5">
        <f>DATE(2022,8,30)</f>
        <v>44803</v>
      </c>
      <c r="O35" s="5">
        <f>DATE(2024,8,30)</f>
        <v>45534</v>
      </c>
      <c r="P35" s="5">
        <f t="shared" si="0"/>
        <v>46629</v>
      </c>
      <c r="Q35" s="1">
        <v>1906</v>
      </c>
      <c r="R35" s="1">
        <v>1600</v>
      </c>
      <c r="S35" s="1">
        <f t="shared" si="1"/>
        <v>1600</v>
      </c>
      <c r="T35" s="1">
        <v>1</v>
      </c>
      <c r="U35" s="1" t="str">
        <f t="shared" si="2"/>
        <v>SIM</v>
      </c>
      <c r="V35" s="1">
        <f t="shared" si="3"/>
        <v>732</v>
      </c>
      <c r="W35" s="4">
        <f t="shared" si="4"/>
        <v>2.1857923497267762</v>
      </c>
      <c r="X35" s="4">
        <f t="shared" si="5"/>
        <v>797.81420765027326</v>
      </c>
      <c r="Y35" s="4">
        <f t="shared" si="6"/>
        <v>0.99726775956284153</v>
      </c>
      <c r="AB35" s="5">
        <f t="shared" si="7"/>
        <v>45292</v>
      </c>
      <c r="AC35" s="5">
        <f t="shared" si="8"/>
        <v>45657</v>
      </c>
      <c r="AD35" s="1">
        <v>24</v>
      </c>
      <c r="AE35" s="1">
        <f t="shared" si="9"/>
        <v>0</v>
      </c>
      <c r="AF35" s="1">
        <f t="shared" si="10"/>
        <v>0</v>
      </c>
      <c r="AG35" s="1">
        <f t="shared" si="11"/>
        <v>243</v>
      </c>
      <c r="AH35" s="1">
        <f t="shared" si="12"/>
        <v>0</v>
      </c>
      <c r="AI35" s="1">
        <f t="shared" si="13"/>
        <v>0</v>
      </c>
      <c r="AJ35" s="3">
        <f t="shared" si="14"/>
        <v>0.66393442622950816</v>
      </c>
      <c r="AK35" s="3">
        <f t="shared" si="15"/>
        <v>0.66212039774254228</v>
      </c>
      <c r="AL35" s="3">
        <f t="shared" si="16"/>
        <v>15.890889545821015</v>
      </c>
      <c r="AM35" s="3">
        <f t="shared" si="17"/>
        <v>15.890889545821015</v>
      </c>
      <c r="AN35" s="3">
        <f t="shared" si="18"/>
        <v>0</v>
      </c>
      <c r="AO35" s="3">
        <f t="shared" si="19"/>
        <v>15.890889545821015</v>
      </c>
      <c r="AP35" s="1" t="str">
        <f>INDEX({"EAD";"EAD";"EAD";"EAD MOOC";"EAD";"EAD";"EAD FP";"EAD";"PRESENCIAL";"PRESENCIAL";"PRESENCIAL";"PRESENCIAL"}, MATCH(CONCATENATE(E35, ".", F35),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6" spans="1:42" x14ac:dyDescent="0.25">
      <c r="A36" s="1" t="s">
        <v>27</v>
      </c>
      <c r="B36" s="1" t="s">
        <v>28</v>
      </c>
      <c r="C36" s="1" t="s">
        <v>29</v>
      </c>
      <c r="D36" s="1" t="s">
        <v>30</v>
      </c>
      <c r="E36" s="1" t="s">
        <v>120</v>
      </c>
      <c r="F36" s="1" t="s">
        <v>21</v>
      </c>
      <c r="G36" s="1" t="s">
        <v>128</v>
      </c>
      <c r="H36" s="1" t="s">
        <v>129</v>
      </c>
      <c r="I36" s="1" t="s">
        <v>124</v>
      </c>
      <c r="J36" s="1" t="s">
        <v>125</v>
      </c>
      <c r="K36" s="1" t="s">
        <v>130</v>
      </c>
      <c r="L36" s="1">
        <v>2942927</v>
      </c>
      <c r="M36" s="1" t="s">
        <v>166</v>
      </c>
      <c r="N36" s="5">
        <f>DATE(2023,3,7)</f>
        <v>44992</v>
      </c>
      <c r="O36" s="5">
        <f>DATE(2025,12,22)</f>
        <v>46013</v>
      </c>
      <c r="P36" s="5">
        <f t="shared" si="0"/>
        <v>47108</v>
      </c>
      <c r="Q36" s="1">
        <v>3486</v>
      </c>
      <c r="R36" s="1">
        <v>800</v>
      </c>
      <c r="S36" s="1">
        <f t="shared" si="1"/>
        <v>3000</v>
      </c>
      <c r="T36" s="1">
        <v>1.5</v>
      </c>
      <c r="U36" s="1" t="str">
        <f t="shared" si="2"/>
        <v>SIM</v>
      </c>
      <c r="V36" s="1">
        <f t="shared" si="3"/>
        <v>1022</v>
      </c>
      <c r="W36" s="4">
        <f t="shared" si="4"/>
        <v>2.9354207436399218</v>
      </c>
      <c r="X36" s="4">
        <f t="shared" si="5"/>
        <v>1071.4285714285716</v>
      </c>
      <c r="Y36" s="4">
        <f t="shared" si="6"/>
        <v>1.3392857142857144</v>
      </c>
      <c r="AB36" s="5">
        <f t="shared" si="7"/>
        <v>45292</v>
      </c>
      <c r="AC36" s="5">
        <f t="shared" si="8"/>
        <v>45657</v>
      </c>
      <c r="AD36" s="1">
        <v>67</v>
      </c>
      <c r="AE36" s="1">
        <f t="shared" si="9"/>
        <v>366</v>
      </c>
      <c r="AF36" s="1">
        <f t="shared" si="10"/>
        <v>0</v>
      </c>
      <c r="AG36" s="1">
        <f t="shared" si="11"/>
        <v>0</v>
      </c>
      <c r="AH36" s="1">
        <f t="shared" si="12"/>
        <v>0</v>
      </c>
      <c r="AI36" s="1">
        <f t="shared" si="13"/>
        <v>0</v>
      </c>
      <c r="AJ36" s="3">
        <f t="shared" si="14"/>
        <v>1</v>
      </c>
      <c r="AK36" s="3">
        <f t="shared" si="15"/>
        <v>1.3392857142857144</v>
      </c>
      <c r="AL36" s="3">
        <f t="shared" si="16"/>
        <v>89.732142857142861</v>
      </c>
      <c r="AM36" s="3">
        <f t="shared" si="17"/>
        <v>134.59821428571428</v>
      </c>
      <c r="AN36" s="3">
        <f t="shared" si="18"/>
        <v>0</v>
      </c>
      <c r="AO36" s="3">
        <f t="shared" si="19"/>
        <v>134.59821428571428</v>
      </c>
      <c r="AP36" s="1" t="str">
        <f>INDEX({"EAD";"EAD";"EAD";"EAD MOOC";"EAD";"EAD";"EAD FP";"EAD";"PRESENCIAL";"PRESENCIAL";"PRESENCIAL";"PRESENCIAL"}, MATCH(CONCATENATE(E36, ".", F36),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7" spans="1:42" x14ac:dyDescent="0.25">
      <c r="A37" s="1" t="s">
        <v>27</v>
      </c>
      <c r="B37" s="1" t="s">
        <v>28</v>
      </c>
      <c r="C37" s="1" t="s">
        <v>29</v>
      </c>
      <c r="D37" s="1" t="s">
        <v>30</v>
      </c>
      <c r="E37" s="1" t="s">
        <v>120</v>
      </c>
      <c r="F37" s="1" t="s">
        <v>21</v>
      </c>
      <c r="G37" s="1" t="s">
        <v>128</v>
      </c>
      <c r="H37" s="1" t="s">
        <v>132</v>
      </c>
      <c r="I37" s="1" t="s">
        <v>107</v>
      </c>
      <c r="J37" s="1" t="s">
        <v>108</v>
      </c>
      <c r="K37" s="1" t="s">
        <v>130</v>
      </c>
      <c r="L37" s="1">
        <v>2942928</v>
      </c>
      <c r="M37" s="1" t="s">
        <v>167</v>
      </c>
      <c r="N37" s="5">
        <f>DATE(2023,3,7)</f>
        <v>44992</v>
      </c>
      <c r="O37" s="5">
        <f>DATE(2025,12,22)</f>
        <v>46013</v>
      </c>
      <c r="P37" s="5">
        <f t="shared" si="0"/>
        <v>47108</v>
      </c>
      <c r="Q37" s="1">
        <v>3486</v>
      </c>
      <c r="R37" s="1">
        <v>1200</v>
      </c>
      <c r="S37" s="1">
        <f t="shared" si="1"/>
        <v>3200</v>
      </c>
      <c r="T37" s="1">
        <v>2.5</v>
      </c>
      <c r="U37" s="1" t="str">
        <f t="shared" si="2"/>
        <v>SIM</v>
      </c>
      <c r="V37" s="1">
        <f t="shared" si="3"/>
        <v>1022</v>
      </c>
      <c r="W37" s="4">
        <f t="shared" si="4"/>
        <v>3.131115459882583</v>
      </c>
      <c r="X37" s="4">
        <f t="shared" si="5"/>
        <v>1142.8571428571429</v>
      </c>
      <c r="Y37" s="4">
        <f t="shared" si="6"/>
        <v>1.4285714285714286</v>
      </c>
      <c r="AB37" s="5">
        <f t="shared" si="7"/>
        <v>45292</v>
      </c>
      <c r="AC37" s="5">
        <f t="shared" si="8"/>
        <v>45657</v>
      </c>
      <c r="AD37" s="1">
        <v>93</v>
      </c>
      <c r="AE37" s="1">
        <f t="shared" si="9"/>
        <v>366</v>
      </c>
      <c r="AF37" s="1">
        <f t="shared" si="10"/>
        <v>0</v>
      </c>
      <c r="AG37" s="1">
        <f t="shared" si="11"/>
        <v>0</v>
      </c>
      <c r="AH37" s="1">
        <f t="shared" si="12"/>
        <v>0</v>
      </c>
      <c r="AI37" s="1">
        <f t="shared" si="13"/>
        <v>0</v>
      </c>
      <c r="AJ37" s="3">
        <f t="shared" si="14"/>
        <v>1</v>
      </c>
      <c r="AK37" s="3">
        <f t="shared" si="15"/>
        <v>1.4285714285714286</v>
      </c>
      <c r="AL37" s="3">
        <f t="shared" si="16"/>
        <v>132.85714285714286</v>
      </c>
      <c r="AM37" s="3">
        <f t="shared" si="17"/>
        <v>332.14285714285717</v>
      </c>
      <c r="AN37" s="3">
        <f t="shared" si="18"/>
        <v>166.07142857142858</v>
      </c>
      <c r="AO37" s="3">
        <f t="shared" si="19"/>
        <v>498.21428571428578</v>
      </c>
      <c r="AP37" s="1" t="str">
        <f>INDEX({"EAD";"EAD";"EAD";"EAD MOOC";"EAD";"EAD";"EAD FP";"EAD";"PRESENCIAL";"PRESENCIAL";"PRESENCIAL";"PRESENCIAL"}, MATCH(CONCATENATE(E37, ".", F37),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8" spans="1:42" x14ac:dyDescent="0.25">
      <c r="A38" s="1" t="s">
        <v>27</v>
      </c>
      <c r="B38" s="1" t="s">
        <v>28</v>
      </c>
      <c r="C38" s="1" t="s">
        <v>29</v>
      </c>
      <c r="D38" s="1" t="s">
        <v>30</v>
      </c>
      <c r="E38" s="1" t="s">
        <v>120</v>
      </c>
      <c r="F38" s="1" t="s">
        <v>21</v>
      </c>
      <c r="G38" s="1" t="s">
        <v>121</v>
      </c>
      <c r="H38" s="1" t="s">
        <v>123</v>
      </c>
      <c r="I38" s="1" t="s">
        <v>124</v>
      </c>
      <c r="J38" s="1" t="s">
        <v>125</v>
      </c>
      <c r="K38" s="1" t="s">
        <v>109</v>
      </c>
      <c r="L38" s="1">
        <v>2942930</v>
      </c>
      <c r="M38" s="1" t="s">
        <v>168</v>
      </c>
      <c r="N38" s="5">
        <f>DATE(2023,3,7)</f>
        <v>44992</v>
      </c>
      <c r="O38" s="5">
        <f>DATE(2027,3,8)</f>
        <v>46454</v>
      </c>
      <c r="P38" s="5">
        <f t="shared" si="0"/>
        <v>47549</v>
      </c>
      <c r="Q38" s="1">
        <v>3120</v>
      </c>
      <c r="R38" s="1">
        <v>3000</v>
      </c>
      <c r="S38" s="1">
        <f t="shared" si="1"/>
        <v>3000</v>
      </c>
      <c r="T38" s="1">
        <v>1</v>
      </c>
      <c r="U38" s="1" t="str">
        <f t="shared" si="2"/>
        <v>SIM</v>
      </c>
      <c r="V38" s="1">
        <f t="shared" si="3"/>
        <v>1463</v>
      </c>
      <c r="W38" s="4">
        <f t="shared" si="4"/>
        <v>2.0505809979494192</v>
      </c>
      <c r="X38" s="4">
        <f t="shared" si="5"/>
        <v>748.46206425153798</v>
      </c>
      <c r="Y38" s="4">
        <f t="shared" si="6"/>
        <v>0.93557758031442251</v>
      </c>
      <c r="AB38" s="5">
        <f t="shared" si="7"/>
        <v>45292</v>
      </c>
      <c r="AC38" s="5">
        <f t="shared" si="8"/>
        <v>45657</v>
      </c>
      <c r="AD38" s="1">
        <v>32</v>
      </c>
      <c r="AE38" s="1">
        <f t="shared" si="9"/>
        <v>366</v>
      </c>
      <c r="AF38" s="1">
        <f t="shared" si="10"/>
        <v>0</v>
      </c>
      <c r="AG38" s="1">
        <f t="shared" si="11"/>
        <v>0</v>
      </c>
      <c r="AH38" s="1">
        <f t="shared" si="12"/>
        <v>0</v>
      </c>
      <c r="AI38" s="1">
        <f t="shared" si="13"/>
        <v>0</v>
      </c>
      <c r="AJ38" s="3">
        <f t="shared" si="14"/>
        <v>1</v>
      </c>
      <c r="AK38" s="3">
        <f t="shared" si="15"/>
        <v>0.93557758031442251</v>
      </c>
      <c r="AL38" s="3">
        <f t="shared" si="16"/>
        <v>29.93848257006152</v>
      </c>
      <c r="AM38" s="3">
        <f t="shared" si="17"/>
        <v>29.93848257006152</v>
      </c>
      <c r="AN38" s="3">
        <f t="shared" si="18"/>
        <v>0</v>
      </c>
      <c r="AO38" s="3">
        <f t="shared" si="19"/>
        <v>29.93848257006152</v>
      </c>
      <c r="AP38" s="1" t="str">
        <f>INDEX({"EAD";"EAD";"EAD";"EAD MOOC";"EAD";"EAD";"EAD FP";"EAD";"PRESENCIAL";"PRESENCIAL";"PRESENCIAL";"PRESENCIAL"}, MATCH(CONCATENATE(E38, ".", F38),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9" spans="1:42" x14ac:dyDescent="0.25">
      <c r="A39" s="1" t="s">
        <v>27</v>
      </c>
      <c r="B39" s="1" t="s">
        <v>28</v>
      </c>
      <c r="C39" s="1" t="s">
        <v>29</v>
      </c>
      <c r="D39" s="1" t="s">
        <v>30</v>
      </c>
      <c r="E39" s="1" t="s">
        <v>120</v>
      </c>
      <c r="F39" s="1" t="s">
        <v>21</v>
      </c>
      <c r="G39" s="1" t="s">
        <v>121</v>
      </c>
      <c r="H39" s="1" t="s">
        <v>106</v>
      </c>
      <c r="I39" s="1" t="s">
        <v>107</v>
      </c>
      <c r="J39" s="1" t="s">
        <v>108</v>
      </c>
      <c r="K39" s="1" t="s">
        <v>109</v>
      </c>
      <c r="L39" s="1">
        <v>2965355</v>
      </c>
      <c r="M39" s="1" t="s">
        <v>169</v>
      </c>
      <c r="N39" s="5">
        <f>DATE(2023,3,7)</f>
        <v>44992</v>
      </c>
      <c r="O39" s="5">
        <f>DATE(2027,12,23)</f>
        <v>46744</v>
      </c>
      <c r="P39" s="5">
        <f t="shared" si="0"/>
        <v>47839</v>
      </c>
      <c r="Q39" s="1">
        <v>4208</v>
      </c>
      <c r="R39" s="1">
        <v>3600</v>
      </c>
      <c r="S39" s="1">
        <f t="shared" si="1"/>
        <v>3600</v>
      </c>
      <c r="T39" s="1">
        <v>2.5</v>
      </c>
      <c r="U39" s="1" t="str">
        <f t="shared" si="2"/>
        <v>SIM</v>
      </c>
      <c r="V39" s="1">
        <f t="shared" si="3"/>
        <v>1753</v>
      </c>
      <c r="W39" s="4">
        <f t="shared" si="4"/>
        <v>2.0536223616657159</v>
      </c>
      <c r="X39" s="4">
        <f t="shared" si="5"/>
        <v>749.57216200798632</v>
      </c>
      <c r="Y39" s="4">
        <f t="shared" si="6"/>
        <v>0.93696520250998294</v>
      </c>
      <c r="AB39" s="5">
        <f t="shared" si="7"/>
        <v>45292</v>
      </c>
      <c r="AC39" s="5">
        <f t="shared" si="8"/>
        <v>45657</v>
      </c>
      <c r="AD39" s="1">
        <v>29</v>
      </c>
      <c r="AE39" s="1">
        <f t="shared" si="9"/>
        <v>366</v>
      </c>
      <c r="AF39" s="1">
        <f t="shared" si="10"/>
        <v>0</v>
      </c>
      <c r="AG39" s="1">
        <f t="shared" si="11"/>
        <v>0</v>
      </c>
      <c r="AH39" s="1">
        <f t="shared" si="12"/>
        <v>0</v>
      </c>
      <c r="AI39" s="1">
        <f t="shared" si="13"/>
        <v>0</v>
      </c>
      <c r="AJ39" s="3">
        <f t="shared" si="14"/>
        <v>1</v>
      </c>
      <c r="AK39" s="3">
        <f t="shared" si="15"/>
        <v>0.93696520250998294</v>
      </c>
      <c r="AL39" s="3">
        <f t="shared" si="16"/>
        <v>27.171990872789504</v>
      </c>
      <c r="AM39" s="3">
        <f t="shared" si="17"/>
        <v>67.929977181973754</v>
      </c>
      <c r="AN39" s="3">
        <f t="shared" si="18"/>
        <v>33.964988590986877</v>
      </c>
      <c r="AO39" s="3">
        <f t="shared" si="19"/>
        <v>101.89496577296063</v>
      </c>
      <c r="AP39" s="1" t="str">
        <f>INDEX({"EAD";"EAD";"EAD";"EAD MOOC";"EAD";"EAD";"EAD FP";"EAD";"PRESENCIAL";"PRESENCIAL";"PRESENCIAL";"PRESENCIAL"}, MATCH(CONCATENATE(E39, ".", F39),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0" spans="1:42" x14ac:dyDescent="0.25">
      <c r="A40" s="1" t="s">
        <v>27</v>
      </c>
      <c r="B40" s="1" t="s">
        <v>28</v>
      </c>
      <c r="C40" s="1" t="s">
        <v>29</v>
      </c>
      <c r="D40" s="1" t="s">
        <v>30</v>
      </c>
      <c r="E40" s="1" t="s">
        <v>170</v>
      </c>
      <c r="F40" s="1" t="s">
        <v>21</v>
      </c>
      <c r="G40" s="1" t="s">
        <v>128</v>
      </c>
      <c r="H40" s="1" t="s">
        <v>171</v>
      </c>
      <c r="I40" s="1" t="s">
        <v>172</v>
      </c>
      <c r="J40" s="1" t="s">
        <v>125</v>
      </c>
      <c r="K40" s="1" t="s">
        <v>163</v>
      </c>
      <c r="L40" s="1">
        <v>2959613</v>
      </c>
      <c r="M40" s="1" t="s">
        <v>173</v>
      </c>
      <c r="N40" s="5">
        <f>DATE(2023,4,3)</f>
        <v>45019</v>
      </c>
      <c r="O40" s="5">
        <f>DATE(2024,8,31)</f>
        <v>45535</v>
      </c>
      <c r="P40" s="5">
        <f t="shared" si="0"/>
        <v>46630</v>
      </c>
      <c r="Q40" s="1">
        <v>1200</v>
      </c>
      <c r="R40" s="1">
        <v>1200</v>
      </c>
      <c r="S40" s="1">
        <f t="shared" si="1"/>
        <v>1200</v>
      </c>
      <c r="T40" s="1">
        <v>2</v>
      </c>
      <c r="U40" s="1" t="str">
        <f t="shared" si="2"/>
        <v>SIM</v>
      </c>
      <c r="V40" s="1">
        <f t="shared" si="3"/>
        <v>517</v>
      </c>
      <c r="W40" s="4">
        <f t="shared" si="4"/>
        <v>2.3210831721470018</v>
      </c>
      <c r="X40" s="4">
        <f t="shared" si="5"/>
        <v>847.19535783365563</v>
      </c>
      <c r="Y40" s="4">
        <f t="shared" si="6"/>
        <v>1.0589941972920696</v>
      </c>
      <c r="AB40" s="5">
        <f t="shared" si="7"/>
        <v>45292</v>
      </c>
      <c r="AC40" s="5">
        <f t="shared" si="8"/>
        <v>45657</v>
      </c>
      <c r="AD40" s="1">
        <v>27</v>
      </c>
      <c r="AE40" s="1">
        <f t="shared" si="9"/>
        <v>0</v>
      </c>
      <c r="AF40" s="1">
        <f t="shared" si="10"/>
        <v>0</v>
      </c>
      <c r="AG40" s="1">
        <f t="shared" si="11"/>
        <v>244</v>
      </c>
      <c r="AH40" s="1">
        <f t="shared" si="12"/>
        <v>0</v>
      </c>
      <c r="AI40" s="1">
        <f t="shared" si="13"/>
        <v>0</v>
      </c>
      <c r="AJ40" s="3">
        <f t="shared" si="14"/>
        <v>0.66666666666666663</v>
      </c>
      <c r="AK40" s="3">
        <f t="shared" si="15"/>
        <v>0.7059961315280463</v>
      </c>
      <c r="AL40" s="3">
        <f t="shared" si="16"/>
        <v>19.061895551257251</v>
      </c>
      <c r="AM40" s="3">
        <f t="shared" si="17"/>
        <v>38.123791102514502</v>
      </c>
      <c r="AN40" s="3">
        <f t="shared" si="18"/>
        <v>0</v>
      </c>
      <c r="AO40" s="3">
        <f t="shared" si="19"/>
        <v>38.123791102514502</v>
      </c>
      <c r="AP40" s="1" t="str">
        <f>INDEX({"EAD";"EAD";"EAD";"EAD MOOC";"EAD";"EAD";"EAD FP";"EAD";"PRESENCIAL";"PRESENCIAL";"PRESENCIAL";"PRESENCIAL"}, MATCH(CONCATENATE(E40, ".", F40),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41" spans="1:42" x14ac:dyDescent="0.25">
      <c r="A41" s="1" t="s">
        <v>27</v>
      </c>
      <c r="B41" s="1" t="s">
        <v>28</v>
      </c>
      <c r="C41" s="1" t="s">
        <v>29</v>
      </c>
      <c r="D41" s="1" t="s">
        <v>30</v>
      </c>
      <c r="E41" s="1" t="s">
        <v>170</v>
      </c>
      <c r="F41" s="1" t="s">
        <v>21</v>
      </c>
      <c r="G41" s="1" t="s">
        <v>128</v>
      </c>
      <c r="H41" s="1" t="s">
        <v>174</v>
      </c>
      <c r="I41" s="1" t="s">
        <v>172</v>
      </c>
      <c r="J41" s="1" t="s">
        <v>125</v>
      </c>
      <c r="K41" s="1" t="s">
        <v>163</v>
      </c>
      <c r="L41" s="1">
        <v>2959615</v>
      </c>
      <c r="M41" s="1" t="s">
        <v>175</v>
      </c>
      <c r="N41" s="5">
        <f>DATE(2023,4,3)</f>
        <v>45019</v>
      </c>
      <c r="O41" s="5">
        <f>DATE(2024,8,31)</f>
        <v>45535</v>
      </c>
      <c r="P41" s="5">
        <f t="shared" si="0"/>
        <v>46630</v>
      </c>
      <c r="Q41" s="1">
        <v>1200</v>
      </c>
      <c r="R41" s="1">
        <v>1200</v>
      </c>
      <c r="S41" s="1">
        <f t="shared" si="1"/>
        <v>1200</v>
      </c>
      <c r="T41" s="1">
        <v>1</v>
      </c>
      <c r="U41" s="1" t="str">
        <f t="shared" si="2"/>
        <v>SIM</v>
      </c>
      <c r="V41" s="1">
        <f t="shared" si="3"/>
        <v>517</v>
      </c>
      <c r="W41" s="4">
        <f t="shared" si="4"/>
        <v>2.3210831721470018</v>
      </c>
      <c r="X41" s="4">
        <f t="shared" si="5"/>
        <v>847.19535783365563</v>
      </c>
      <c r="Y41" s="4">
        <f t="shared" si="6"/>
        <v>1.0589941972920696</v>
      </c>
      <c r="AB41" s="5">
        <f t="shared" si="7"/>
        <v>45292</v>
      </c>
      <c r="AC41" s="5">
        <f t="shared" si="8"/>
        <v>45657</v>
      </c>
      <c r="AD41" s="1">
        <v>22</v>
      </c>
      <c r="AE41" s="1">
        <f t="shared" si="9"/>
        <v>0</v>
      </c>
      <c r="AF41" s="1">
        <f t="shared" si="10"/>
        <v>0</v>
      </c>
      <c r="AG41" s="1">
        <f t="shared" si="11"/>
        <v>244</v>
      </c>
      <c r="AH41" s="1">
        <f t="shared" si="12"/>
        <v>0</v>
      </c>
      <c r="AI41" s="1">
        <f t="shared" si="13"/>
        <v>0</v>
      </c>
      <c r="AJ41" s="3">
        <f t="shared" si="14"/>
        <v>0.66666666666666663</v>
      </c>
      <c r="AK41" s="3">
        <f t="shared" si="15"/>
        <v>0.7059961315280463</v>
      </c>
      <c r="AL41" s="3">
        <f t="shared" si="16"/>
        <v>15.531914893617019</v>
      </c>
      <c r="AM41" s="3">
        <f t="shared" si="17"/>
        <v>15.531914893617019</v>
      </c>
      <c r="AN41" s="3">
        <f t="shared" si="18"/>
        <v>0</v>
      </c>
      <c r="AO41" s="3">
        <f t="shared" si="19"/>
        <v>15.531914893617019</v>
      </c>
      <c r="AP41" s="1" t="str">
        <f>INDEX({"EAD";"EAD";"EAD";"EAD MOOC";"EAD";"EAD";"EAD FP";"EAD";"PRESENCIAL";"PRESENCIAL";"PRESENCIAL";"PRESENCIAL"}, MATCH(CONCATENATE(E41, ".", F41),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42" spans="1:42" x14ac:dyDescent="0.25">
      <c r="A42" s="1" t="s">
        <v>27</v>
      </c>
      <c r="B42" s="1" t="s">
        <v>28</v>
      </c>
      <c r="C42" s="1" t="s">
        <v>29</v>
      </c>
      <c r="D42" s="1" t="s">
        <v>30</v>
      </c>
      <c r="E42" s="1" t="s">
        <v>170</v>
      </c>
      <c r="F42" s="1" t="s">
        <v>21</v>
      </c>
      <c r="G42" s="1" t="s">
        <v>128</v>
      </c>
      <c r="H42" s="1" t="s">
        <v>176</v>
      </c>
      <c r="I42" s="1" t="s">
        <v>172</v>
      </c>
      <c r="J42" s="1" t="s">
        <v>125</v>
      </c>
      <c r="K42" s="1" t="s">
        <v>163</v>
      </c>
      <c r="L42" s="1">
        <v>2959616</v>
      </c>
      <c r="M42" s="1" t="s">
        <v>177</v>
      </c>
      <c r="N42" s="5">
        <f>DATE(2023,4,3)</f>
        <v>45019</v>
      </c>
      <c r="O42" s="5">
        <f>DATE(2024,8,31)</f>
        <v>45535</v>
      </c>
      <c r="P42" s="5">
        <f t="shared" si="0"/>
        <v>46630</v>
      </c>
      <c r="Q42" s="1">
        <v>1200</v>
      </c>
      <c r="R42" s="1">
        <v>800</v>
      </c>
      <c r="S42" s="1">
        <f t="shared" si="1"/>
        <v>800</v>
      </c>
      <c r="T42" s="1">
        <v>1.5</v>
      </c>
      <c r="U42" s="1" t="str">
        <f t="shared" si="2"/>
        <v>SIM</v>
      </c>
      <c r="V42" s="1">
        <f t="shared" si="3"/>
        <v>517</v>
      </c>
      <c r="W42" s="4">
        <f t="shared" si="4"/>
        <v>1.5473887814313345</v>
      </c>
      <c r="X42" s="4">
        <f t="shared" si="5"/>
        <v>564.79690522243709</v>
      </c>
      <c r="Y42" s="4">
        <f t="shared" si="6"/>
        <v>0.70599613152804641</v>
      </c>
      <c r="AB42" s="5">
        <f t="shared" si="7"/>
        <v>45292</v>
      </c>
      <c r="AC42" s="5">
        <f t="shared" si="8"/>
        <v>45657</v>
      </c>
      <c r="AD42" s="1">
        <v>13</v>
      </c>
      <c r="AE42" s="1">
        <f t="shared" si="9"/>
        <v>0</v>
      </c>
      <c r="AF42" s="1">
        <f t="shared" si="10"/>
        <v>0</v>
      </c>
      <c r="AG42" s="1">
        <f t="shared" si="11"/>
        <v>244</v>
      </c>
      <c r="AH42" s="1">
        <f t="shared" si="12"/>
        <v>0</v>
      </c>
      <c r="AI42" s="1">
        <f t="shared" si="13"/>
        <v>0</v>
      </c>
      <c r="AJ42" s="3">
        <f t="shared" si="14"/>
        <v>0.66666666666666663</v>
      </c>
      <c r="AK42" s="3">
        <f t="shared" si="15"/>
        <v>0.47066408768536427</v>
      </c>
      <c r="AL42" s="3">
        <f t="shared" si="16"/>
        <v>6.1186331399097353</v>
      </c>
      <c r="AM42" s="3">
        <f t="shared" si="17"/>
        <v>9.1779497098646026</v>
      </c>
      <c r="AN42" s="3">
        <f t="shared" si="18"/>
        <v>0</v>
      </c>
      <c r="AO42" s="3">
        <f t="shared" si="19"/>
        <v>9.1779497098646026</v>
      </c>
      <c r="AP42" s="1" t="str">
        <f>INDEX({"EAD";"EAD";"EAD";"EAD MOOC";"EAD";"EAD";"EAD FP";"EAD";"PRESENCIAL";"PRESENCIAL";"PRESENCIAL";"PRESENCIAL"}, MATCH(CONCATENATE(E42, ".", F42),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43" spans="1:42" x14ac:dyDescent="0.25">
      <c r="A43" s="1" t="s">
        <v>27</v>
      </c>
      <c r="B43" s="1" t="s">
        <v>28</v>
      </c>
      <c r="C43" s="1" t="s">
        <v>29</v>
      </c>
      <c r="D43" s="1" t="s">
        <v>30</v>
      </c>
      <c r="E43" s="1" t="s">
        <v>170</v>
      </c>
      <c r="F43" s="1" t="s">
        <v>21</v>
      </c>
      <c r="G43" s="1" t="s">
        <v>178</v>
      </c>
      <c r="H43" s="1" t="s">
        <v>179</v>
      </c>
      <c r="I43" s="1" t="s">
        <v>124</v>
      </c>
      <c r="J43" s="1" t="s">
        <v>125</v>
      </c>
      <c r="K43" s="1" t="s">
        <v>109</v>
      </c>
      <c r="L43" s="1">
        <v>2998724</v>
      </c>
      <c r="M43" s="1" t="s">
        <v>180</v>
      </c>
      <c r="N43" s="5">
        <f>DATE(2023,6,19)</f>
        <v>45096</v>
      </c>
      <c r="O43" s="5">
        <f>DATE(2024,5,20)</f>
        <v>45432</v>
      </c>
      <c r="P43" s="5">
        <f t="shared" si="0"/>
        <v>46527</v>
      </c>
      <c r="Q43" s="1">
        <v>360</v>
      </c>
      <c r="R43" s="1">
        <v>360</v>
      </c>
      <c r="S43" s="1">
        <f t="shared" si="1"/>
        <v>360</v>
      </c>
      <c r="T43" s="1">
        <v>1</v>
      </c>
      <c r="U43" s="1" t="str">
        <f t="shared" si="2"/>
        <v>SIM</v>
      </c>
      <c r="V43" s="1">
        <f t="shared" si="3"/>
        <v>337</v>
      </c>
      <c r="W43" s="4">
        <f t="shared" si="4"/>
        <v>1.0682492581602374</v>
      </c>
      <c r="X43" s="4">
        <f t="shared" si="5"/>
        <v>360</v>
      </c>
      <c r="Y43" s="4">
        <f t="shared" si="6"/>
        <v>0.45</v>
      </c>
      <c r="AB43" s="5">
        <f t="shared" si="7"/>
        <v>45292</v>
      </c>
      <c r="AC43" s="5">
        <f t="shared" si="8"/>
        <v>45657</v>
      </c>
      <c r="AD43" s="1">
        <v>33</v>
      </c>
      <c r="AE43" s="1">
        <f t="shared" si="9"/>
        <v>0</v>
      </c>
      <c r="AF43" s="1">
        <f t="shared" si="10"/>
        <v>0</v>
      </c>
      <c r="AG43" s="1">
        <f t="shared" si="11"/>
        <v>141</v>
      </c>
      <c r="AH43" s="1">
        <f t="shared" si="12"/>
        <v>0</v>
      </c>
      <c r="AI43" s="1">
        <f t="shared" si="13"/>
        <v>0</v>
      </c>
      <c r="AJ43" s="3">
        <f t="shared" si="14"/>
        <v>0.41839762611275966</v>
      </c>
      <c r="AK43" s="3">
        <f t="shared" si="15"/>
        <v>0.18827893175074184</v>
      </c>
      <c r="AL43" s="3">
        <f t="shared" si="16"/>
        <v>6.2132047477744807</v>
      </c>
      <c r="AM43" s="3">
        <f t="shared" si="17"/>
        <v>6.2132047477744807</v>
      </c>
      <c r="AN43" s="3">
        <f t="shared" si="18"/>
        <v>0</v>
      </c>
      <c r="AO43" s="3">
        <f t="shared" si="19"/>
        <v>6.2132047477744807</v>
      </c>
      <c r="AP43" s="1" t="str">
        <f>INDEX({"EAD";"EAD";"EAD";"EAD MOOC";"EAD";"EAD";"EAD FP";"EAD";"PRESENCIAL";"PRESENCIAL";"PRESENCIAL";"PRESENCIAL"}, MATCH(CONCATENATE(E43, ".", F43),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44" spans="1:42" x14ac:dyDescent="0.25">
      <c r="A44" s="1" t="s">
        <v>27</v>
      </c>
      <c r="B44" s="1" t="s">
        <v>28</v>
      </c>
      <c r="C44" s="1" t="s">
        <v>29</v>
      </c>
      <c r="D44" s="1" t="s">
        <v>30</v>
      </c>
      <c r="E44" s="1" t="s">
        <v>120</v>
      </c>
      <c r="F44" s="1" t="s">
        <v>21</v>
      </c>
      <c r="G44" s="1" t="s">
        <v>140</v>
      </c>
      <c r="H44" s="1" t="s">
        <v>141</v>
      </c>
      <c r="I44" s="1" t="s">
        <v>124</v>
      </c>
      <c r="J44" s="1" t="s">
        <v>125</v>
      </c>
      <c r="K44" s="1" t="s">
        <v>109</v>
      </c>
      <c r="L44" s="1">
        <v>2999977</v>
      </c>
      <c r="M44" s="1" t="s">
        <v>181</v>
      </c>
      <c r="N44" s="5">
        <f>DATE(2023,8,14)</f>
        <v>45152</v>
      </c>
      <c r="O44" s="5">
        <f>DATE(2025,8,30)</f>
        <v>45899</v>
      </c>
      <c r="P44" s="5">
        <f t="shared" si="0"/>
        <v>46994</v>
      </c>
      <c r="Q44" s="1">
        <v>1600</v>
      </c>
      <c r="R44" s="1">
        <v>1600</v>
      </c>
      <c r="S44" s="1">
        <f t="shared" si="1"/>
        <v>1600</v>
      </c>
      <c r="T44" s="1">
        <v>1</v>
      </c>
      <c r="U44" s="1" t="str">
        <f t="shared" si="2"/>
        <v>SIM</v>
      </c>
      <c r="V44" s="1">
        <f t="shared" si="3"/>
        <v>748</v>
      </c>
      <c r="W44" s="4">
        <f t="shared" si="4"/>
        <v>2.1390374331550803</v>
      </c>
      <c r="X44" s="4">
        <f t="shared" si="5"/>
        <v>780.74866310160428</v>
      </c>
      <c r="Y44" s="4">
        <f t="shared" si="6"/>
        <v>0.97593582887700536</v>
      </c>
      <c r="AB44" s="5">
        <f t="shared" si="7"/>
        <v>45292</v>
      </c>
      <c r="AC44" s="5">
        <f t="shared" si="8"/>
        <v>45657</v>
      </c>
      <c r="AD44" s="1">
        <v>34</v>
      </c>
      <c r="AE44" s="1">
        <f t="shared" si="9"/>
        <v>366</v>
      </c>
      <c r="AF44" s="1">
        <f t="shared" si="10"/>
        <v>0</v>
      </c>
      <c r="AG44" s="1">
        <f t="shared" si="11"/>
        <v>0</v>
      </c>
      <c r="AH44" s="1">
        <f t="shared" si="12"/>
        <v>0</v>
      </c>
      <c r="AI44" s="1">
        <f t="shared" si="13"/>
        <v>0</v>
      </c>
      <c r="AJ44" s="3">
        <f t="shared" si="14"/>
        <v>1</v>
      </c>
      <c r="AK44" s="3">
        <f t="shared" si="15"/>
        <v>0.97593582887700536</v>
      </c>
      <c r="AL44" s="3">
        <f t="shared" si="16"/>
        <v>33.18181818181818</v>
      </c>
      <c r="AM44" s="3">
        <f t="shared" si="17"/>
        <v>33.18181818181818</v>
      </c>
      <c r="AN44" s="3">
        <f t="shared" si="18"/>
        <v>0</v>
      </c>
      <c r="AO44" s="3">
        <f t="shared" si="19"/>
        <v>33.18181818181818</v>
      </c>
      <c r="AP44" s="1" t="str">
        <f>INDEX({"EAD";"EAD";"EAD";"EAD MOOC";"EAD";"EAD";"EAD FP";"EAD";"PRESENCIAL";"PRESENCIAL";"PRESENCIAL";"PRESENCIAL"}, MATCH(CONCATENATE(E44, ".", F44),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5" spans="1:42" x14ac:dyDescent="0.25">
      <c r="A45" s="1" t="s">
        <v>27</v>
      </c>
      <c r="B45" s="1" t="s">
        <v>28</v>
      </c>
      <c r="C45" s="1" t="s">
        <v>29</v>
      </c>
      <c r="D45" s="1" t="s">
        <v>30</v>
      </c>
      <c r="E45" s="1" t="s">
        <v>120</v>
      </c>
      <c r="F45" s="1" t="s">
        <v>21</v>
      </c>
      <c r="G45" s="1" t="s">
        <v>128</v>
      </c>
      <c r="H45" s="1" t="s">
        <v>129</v>
      </c>
      <c r="I45" s="1" t="s">
        <v>124</v>
      </c>
      <c r="J45" s="1" t="s">
        <v>125</v>
      </c>
      <c r="K45" s="1" t="s">
        <v>130</v>
      </c>
      <c r="L45" s="1">
        <v>3065063</v>
      </c>
      <c r="M45" s="1" t="s">
        <v>182</v>
      </c>
      <c r="N45" s="5">
        <f>DATE(2024,2,5)</f>
        <v>45327</v>
      </c>
      <c r="O45" s="5">
        <f>DATE(2026,12,22)</f>
        <v>46378</v>
      </c>
      <c r="P45" s="5">
        <f t="shared" si="0"/>
        <v>47473</v>
      </c>
      <c r="Q45" s="1">
        <v>3298</v>
      </c>
      <c r="R45" s="1">
        <v>800</v>
      </c>
      <c r="S45" s="1">
        <f t="shared" si="1"/>
        <v>3000</v>
      </c>
      <c r="T45" s="1">
        <v>1.5</v>
      </c>
      <c r="U45" s="1" t="str">
        <f t="shared" si="2"/>
        <v>SIM</v>
      </c>
      <c r="V45" s="1">
        <f t="shared" si="3"/>
        <v>1052</v>
      </c>
      <c r="W45" s="4">
        <f t="shared" si="4"/>
        <v>2.8517110266159698</v>
      </c>
      <c r="X45" s="4">
        <f t="shared" si="5"/>
        <v>1040.874524714829</v>
      </c>
      <c r="Y45" s="4">
        <f t="shared" si="6"/>
        <v>1.3010931558935364</v>
      </c>
      <c r="AB45" s="5">
        <f t="shared" si="7"/>
        <v>45292</v>
      </c>
      <c r="AC45" s="5">
        <f t="shared" si="8"/>
        <v>45657</v>
      </c>
      <c r="AD45" s="1">
        <v>66</v>
      </c>
      <c r="AE45" s="1">
        <f t="shared" si="9"/>
        <v>0</v>
      </c>
      <c r="AF45" s="1">
        <f t="shared" si="10"/>
        <v>331</v>
      </c>
      <c r="AG45" s="1">
        <f t="shared" si="11"/>
        <v>0</v>
      </c>
      <c r="AH45" s="1">
        <f t="shared" si="12"/>
        <v>0</v>
      </c>
      <c r="AI45" s="1">
        <f t="shared" si="13"/>
        <v>0</v>
      </c>
      <c r="AJ45" s="3">
        <f t="shared" si="14"/>
        <v>0.90437158469945356</v>
      </c>
      <c r="AK45" s="3">
        <f t="shared" si="15"/>
        <v>1.1766716792370506</v>
      </c>
      <c r="AL45" s="3">
        <f t="shared" si="16"/>
        <v>77.660330829645346</v>
      </c>
      <c r="AM45" s="3">
        <f t="shared" si="17"/>
        <v>116.49049624446802</v>
      </c>
      <c r="AN45" s="3">
        <f t="shared" si="18"/>
        <v>0</v>
      </c>
      <c r="AO45" s="3">
        <f t="shared" si="19"/>
        <v>116.49049624446802</v>
      </c>
      <c r="AP45" s="1" t="str">
        <f>INDEX({"EAD";"EAD";"EAD";"EAD MOOC";"EAD";"EAD";"EAD FP";"EAD";"PRESENCIAL";"PRESENCIAL";"PRESENCIAL";"PRESENCIAL"}, MATCH(CONCATENATE(E45, ".", F45),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6" spans="1:42" x14ac:dyDescent="0.25">
      <c r="A46" s="1" t="s">
        <v>27</v>
      </c>
      <c r="B46" s="1" t="s">
        <v>28</v>
      </c>
      <c r="C46" s="1" t="s">
        <v>29</v>
      </c>
      <c r="D46" s="1" t="s">
        <v>30</v>
      </c>
      <c r="E46" s="1" t="s">
        <v>120</v>
      </c>
      <c r="F46" s="1" t="s">
        <v>21</v>
      </c>
      <c r="G46" s="1" t="s">
        <v>128</v>
      </c>
      <c r="H46" s="1" t="s">
        <v>132</v>
      </c>
      <c r="I46" s="1" t="s">
        <v>107</v>
      </c>
      <c r="J46" s="1" t="s">
        <v>108</v>
      </c>
      <c r="K46" s="1" t="s">
        <v>130</v>
      </c>
      <c r="L46" s="1">
        <v>3065064</v>
      </c>
      <c r="M46" s="1" t="s">
        <v>183</v>
      </c>
      <c r="N46" s="5">
        <f>DATE(2024,2,5)</f>
        <v>45327</v>
      </c>
      <c r="O46" s="5">
        <f>DATE(2026,12,22)</f>
        <v>46378</v>
      </c>
      <c r="P46" s="5">
        <f t="shared" si="0"/>
        <v>47473</v>
      </c>
      <c r="Q46" s="1">
        <v>3026</v>
      </c>
      <c r="R46" s="1">
        <v>1200</v>
      </c>
      <c r="S46" s="1">
        <f t="shared" si="1"/>
        <v>3200</v>
      </c>
      <c r="T46" s="1">
        <v>2.5</v>
      </c>
      <c r="U46" s="1" t="str">
        <f t="shared" si="2"/>
        <v>SIM</v>
      </c>
      <c r="V46" s="1">
        <f t="shared" si="3"/>
        <v>1052</v>
      </c>
      <c r="W46" s="4">
        <f t="shared" si="4"/>
        <v>2.876425855513308</v>
      </c>
      <c r="X46" s="4">
        <f t="shared" si="5"/>
        <v>1049.8954372623575</v>
      </c>
      <c r="Y46" s="4">
        <f t="shared" si="6"/>
        <v>1.312369296577947</v>
      </c>
      <c r="AB46" s="5">
        <f t="shared" si="7"/>
        <v>45292</v>
      </c>
      <c r="AC46" s="5">
        <f t="shared" si="8"/>
        <v>45657</v>
      </c>
      <c r="AD46" s="1">
        <v>104</v>
      </c>
      <c r="AE46" s="1">
        <f t="shared" si="9"/>
        <v>0</v>
      </c>
      <c r="AF46" s="1">
        <f t="shared" si="10"/>
        <v>331</v>
      </c>
      <c r="AG46" s="1">
        <f t="shared" si="11"/>
        <v>0</v>
      </c>
      <c r="AH46" s="1">
        <f t="shared" si="12"/>
        <v>0</v>
      </c>
      <c r="AI46" s="1">
        <f t="shared" si="13"/>
        <v>0</v>
      </c>
      <c r="AJ46" s="3">
        <f t="shared" si="14"/>
        <v>0.90437158469945356</v>
      </c>
      <c r="AK46" s="3">
        <f t="shared" si="15"/>
        <v>1.186869500457105</v>
      </c>
      <c r="AL46" s="3">
        <f t="shared" si="16"/>
        <v>123.43442804753893</v>
      </c>
      <c r="AM46" s="3">
        <f t="shared" si="17"/>
        <v>308.58607011884732</v>
      </c>
      <c r="AN46" s="3">
        <f t="shared" si="18"/>
        <v>154.29303505942366</v>
      </c>
      <c r="AO46" s="3">
        <f t="shared" si="19"/>
        <v>462.87910517827095</v>
      </c>
      <c r="AP46" s="1" t="str">
        <f>INDEX({"EAD";"EAD";"EAD";"EAD MOOC";"EAD";"EAD";"EAD FP";"EAD";"PRESENCIAL";"PRESENCIAL";"PRESENCIAL";"PRESENCIAL"}, MATCH(CONCATENATE(E46, ".", F46),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7" spans="1:42" x14ac:dyDescent="0.25">
      <c r="A47" s="1" t="s">
        <v>27</v>
      </c>
      <c r="B47" s="1" t="s">
        <v>28</v>
      </c>
      <c r="C47" s="1" t="s">
        <v>29</v>
      </c>
      <c r="D47" s="1" t="s">
        <v>30</v>
      </c>
      <c r="E47" s="1" t="s">
        <v>120</v>
      </c>
      <c r="F47" s="1" t="s">
        <v>21</v>
      </c>
      <c r="G47" s="1" t="s">
        <v>121</v>
      </c>
      <c r="H47" s="1" t="s">
        <v>123</v>
      </c>
      <c r="I47" s="1" t="s">
        <v>124</v>
      </c>
      <c r="J47" s="1" t="s">
        <v>125</v>
      </c>
      <c r="K47" s="1" t="s">
        <v>109</v>
      </c>
      <c r="L47" s="1">
        <v>3065065</v>
      </c>
      <c r="M47" s="1" t="s">
        <v>184</v>
      </c>
      <c r="N47" s="5">
        <f>DATE(2024,2,19)</f>
        <v>45341</v>
      </c>
      <c r="O47" s="5">
        <f>DATE(2027,12,22)</f>
        <v>46743</v>
      </c>
      <c r="P47" s="5">
        <f t="shared" si="0"/>
        <v>47838</v>
      </c>
      <c r="Q47" s="1">
        <v>3120</v>
      </c>
      <c r="R47" s="1">
        <v>3000</v>
      </c>
      <c r="S47" s="1">
        <f t="shared" si="1"/>
        <v>3000</v>
      </c>
      <c r="T47" s="1">
        <v>1</v>
      </c>
      <c r="U47" s="1" t="str">
        <f t="shared" si="2"/>
        <v>SIM</v>
      </c>
      <c r="V47" s="1">
        <f t="shared" si="3"/>
        <v>1403</v>
      </c>
      <c r="W47" s="4">
        <f t="shared" si="4"/>
        <v>2.1382751247327154</v>
      </c>
      <c r="X47" s="4">
        <f t="shared" si="5"/>
        <v>780.47042052744109</v>
      </c>
      <c r="Y47" s="4">
        <f t="shared" si="6"/>
        <v>0.97558802565930136</v>
      </c>
      <c r="AB47" s="5">
        <f t="shared" si="7"/>
        <v>45292</v>
      </c>
      <c r="AC47" s="5">
        <f t="shared" si="8"/>
        <v>45657</v>
      </c>
      <c r="AD47" s="1">
        <v>36</v>
      </c>
      <c r="AE47" s="1">
        <f t="shared" si="9"/>
        <v>0</v>
      </c>
      <c r="AF47" s="1">
        <f t="shared" si="10"/>
        <v>317</v>
      </c>
      <c r="AG47" s="1">
        <f t="shared" si="11"/>
        <v>0</v>
      </c>
      <c r="AH47" s="1">
        <f t="shared" si="12"/>
        <v>0</v>
      </c>
      <c r="AI47" s="1">
        <f t="shared" si="13"/>
        <v>0</v>
      </c>
      <c r="AJ47" s="3">
        <f t="shared" si="14"/>
        <v>0.86612021857923494</v>
      </c>
      <c r="AK47" s="3">
        <f t="shared" si="15"/>
        <v>0.84497651402731833</v>
      </c>
      <c r="AL47" s="3">
        <f t="shared" si="16"/>
        <v>30.41915450498346</v>
      </c>
      <c r="AM47" s="3">
        <f t="shared" si="17"/>
        <v>30.41915450498346</v>
      </c>
      <c r="AN47" s="3">
        <f t="shared" si="18"/>
        <v>0</v>
      </c>
      <c r="AO47" s="3">
        <f t="shared" si="19"/>
        <v>30.41915450498346</v>
      </c>
      <c r="AP47" s="1" t="str">
        <f>INDEX({"EAD";"EAD";"EAD";"EAD MOOC";"EAD";"EAD";"EAD FP";"EAD";"PRESENCIAL";"PRESENCIAL";"PRESENCIAL";"PRESENCIAL"}, MATCH(CONCATENATE(E47, ".", F47),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8" spans="1:42" x14ac:dyDescent="0.25">
      <c r="A48" s="1" t="s">
        <v>27</v>
      </c>
      <c r="B48" s="1" t="s">
        <v>28</v>
      </c>
      <c r="C48" s="1" t="s">
        <v>29</v>
      </c>
      <c r="D48" s="1" t="s">
        <v>30</v>
      </c>
      <c r="E48" s="1" t="s">
        <v>120</v>
      </c>
      <c r="F48" s="1" t="s">
        <v>21</v>
      </c>
      <c r="G48" s="1" t="s">
        <v>121</v>
      </c>
      <c r="H48" s="1" t="s">
        <v>106</v>
      </c>
      <c r="I48" s="1" t="s">
        <v>107</v>
      </c>
      <c r="J48" s="1" t="s">
        <v>108</v>
      </c>
      <c r="K48" s="1" t="s">
        <v>109</v>
      </c>
      <c r="L48" s="1">
        <v>3065066</v>
      </c>
      <c r="M48" s="1" t="s">
        <v>185</v>
      </c>
      <c r="N48" s="5">
        <f>DATE(2024,2,19)</f>
        <v>45341</v>
      </c>
      <c r="O48" s="5">
        <f>DATE(2028,12,22)</f>
        <v>47109</v>
      </c>
      <c r="P48" s="5">
        <f t="shared" si="0"/>
        <v>48204</v>
      </c>
      <c r="Q48" s="1">
        <v>4208</v>
      </c>
      <c r="R48" s="1">
        <v>3600</v>
      </c>
      <c r="S48" s="1">
        <f t="shared" si="1"/>
        <v>3600</v>
      </c>
      <c r="T48" s="1">
        <v>2.5</v>
      </c>
      <c r="U48" s="1" t="str">
        <f t="shared" si="2"/>
        <v>SIM</v>
      </c>
      <c r="V48" s="1">
        <f t="shared" si="3"/>
        <v>1769</v>
      </c>
      <c r="W48" s="4">
        <f t="shared" si="4"/>
        <v>2.0350480497456189</v>
      </c>
      <c r="X48" s="4">
        <f t="shared" si="5"/>
        <v>742.79253815715094</v>
      </c>
      <c r="Y48" s="4">
        <f t="shared" si="6"/>
        <v>0.9284906726964387</v>
      </c>
      <c r="AB48" s="5">
        <f t="shared" si="7"/>
        <v>45292</v>
      </c>
      <c r="AC48" s="5">
        <f t="shared" si="8"/>
        <v>45657</v>
      </c>
      <c r="AD48" s="1">
        <v>19</v>
      </c>
      <c r="AE48" s="1">
        <f t="shared" si="9"/>
        <v>0</v>
      </c>
      <c r="AF48" s="1">
        <f t="shared" si="10"/>
        <v>317</v>
      </c>
      <c r="AG48" s="1">
        <f t="shared" si="11"/>
        <v>0</v>
      </c>
      <c r="AH48" s="1">
        <f t="shared" si="12"/>
        <v>0</v>
      </c>
      <c r="AI48" s="1">
        <f t="shared" si="13"/>
        <v>0</v>
      </c>
      <c r="AJ48" s="3">
        <f t="shared" si="14"/>
        <v>0.86612021857923494</v>
      </c>
      <c r="AK48" s="3">
        <f t="shared" si="15"/>
        <v>0.80418454438462039</v>
      </c>
      <c r="AL48" s="3">
        <f t="shared" si="16"/>
        <v>15.279506343307787</v>
      </c>
      <c r="AM48" s="3">
        <f t="shared" si="17"/>
        <v>38.198765858269468</v>
      </c>
      <c r="AN48" s="3">
        <f t="shared" si="18"/>
        <v>19.099382929134734</v>
      </c>
      <c r="AO48" s="3">
        <f t="shared" si="19"/>
        <v>57.298148787404202</v>
      </c>
      <c r="AP48" s="1" t="str">
        <f>INDEX({"EAD";"EAD";"EAD";"EAD MOOC";"EAD";"EAD";"EAD FP";"EAD";"PRESENCIAL";"PRESENCIAL";"PRESENCIAL";"PRESENCIAL"}, MATCH(CONCATENATE(E48, ".", F48),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9" spans="1:42" x14ac:dyDescent="0.25">
      <c r="A49" s="1" t="s">
        <v>27</v>
      </c>
      <c r="B49" s="1" t="s">
        <v>28</v>
      </c>
      <c r="C49" s="1" t="s">
        <v>29</v>
      </c>
      <c r="D49" s="1" t="s">
        <v>30</v>
      </c>
      <c r="E49" s="1" t="s">
        <v>120</v>
      </c>
      <c r="F49" s="1" t="s">
        <v>21</v>
      </c>
      <c r="G49" s="1" t="s">
        <v>161</v>
      </c>
      <c r="H49" s="1" t="s">
        <v>186</v>
      </c>
      <c r="I49" s="1" t="s">
        <v>187</v>
      </c>
      <c r="J49" s="1" t="s">
        <v>125</v>
      </c>
      <c r="K49" s="1" t="s">
        <v>109</v>
      </c>
      <c r="L49" s="1">
        <v>3115181</v>
      </c>
      <c r="M49" s="1" t="s">
        <v>188</v>
      </c>
      <c r="N49" s="5">
        <f>DATE(2024,4,1)</f>
        <v>45383</v>
      </c>
      <c r="O49" s="5">
        <f>DATE(2024,7,31)</f>
        <v>45504</v>
      </c>
      <c r="P49" s="5">
        <f t="shared" si="0"/>
        <v>45504</v>
      </c>
      <c r="Q49" s="1">
        <v>160</v>
      </c>
      <c r="R49" s="1">
        <v>200</v>
      </c>
      <c r="S49" s="1">
        <f t="shared" si="1"/>
        <v>160</v>
      </c>
      <c r="T49" s="1">
        <v>1</v>
      </c>
      <c r="U49" s="1" t="str">
        <f t="shared" si="2"/>
        <v>SIM</v>
      </c>
      <c r="V49" s="1">
        <f t="shared" si="3"/>
        <v>122</v>
      </c>
      <c r="W49" s="4">
        <f t="shared" si="4"/>
        <v>1.3114754098360655</v>
      </c>
      <c r="X49" s="4">
        <f t="shared" si="5"/>
        <v>160</v>
      </c>
      <c r="Y49" s="4">
        <f t="shared" si="6"/>
        <v>0.2</v>
      </c>
      <c r="AB49" s="5">
        <f t="shared" si="7"/>
        <v>45292</v>
      </c>
      <c r="AC49" s="5">
        <f t="shared" si="8"/>
        <v>45657</v>
      </c>
      <c r="AD49" s="1">
        <v>30</v>
      </c>
      <c r="AE49" s="1">
        <f t="shared" si="9"/>
        <v>0</v>
      </c>
      <c r="AF49" s="1">
        <f t="shared" si="10"/>
        <v>0</v>
      </c>
      <c r="AG49" s="1">
        <f t="shared" si="11"/>
        <v>0</v>
      </c>
      <c r="AH49" s="1">
        <f t="shared" si="12"/>
        <v>122</v>
      </c>
      <c r="AI49" s="1">
        <f t="shared" si="13"/>
        <v>0</v>
      </c>
      <c r="AJ49" s="3">
        <f t="shared" si="14"/>
        <v>1</v>
      </c>
      <c r="AK49" s="3">
        <f t="shared" si="15"/>
        <v>0.2</v>
      </c>
      <c r="AL49" s="3">
        <f t="shared" si="16"/>
        <v>6</v>
      </c>
      <c r="AM49" s="3">
        <f t="shared" si="17"/>
        <v>6</v>
      </c>
      <c r="AN49" s="3">
        <f t="shared" si="18"/>
        <v>0</v>
      </c>
      <c r="AO49" s="3">
        <f t="shared" si="19"/>
        <v>6</v>
      </c>
      <c r="AP49" s="1" t="str">
        <f>INDEX({"EAD";"EAD";"EAD";"EAD MOOC";"EAD";"EAD";"EAD FP";"EAD";"PRESENCIAL";"PRESENCIAL";"PRESENCIAL";"PRESENCIAL"}, MATCH(CONCATENATE(E49, ".", F49),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0" spans="1:42" x14ac:dyDescent="0.25">
      <c r="A50" s="1" t="s">
        <v>27</v>
      </c>
      <c r="B50" s="1" t="s">
        <v>28</v>
      </c>
      <c r="C50" s="1" t="s">
        <v>29</v>
      </c>
      <c r="D50" s="1" t="s">
        <v>30</v>
      </c>
      <c r="E50" s="1" t="s">
        <v>120</v>
      </c>
      <c r="F50" s="1" t="s">
        <v>21</v>
      </c>
      <c r="G50" s="1" t="s">
        <v>140</v>
      </c>
      <c r="H50" s="1" t="s">
        <v>141</v>
      </c>
      <c r="I50" s="1" t="s">
        <v>124</v>
      </c>
      <c r="J50" s="1" t="s">
        <v>125</v>
      </c>
      <c r="K50" s="1" t="s">
        <v>109</v>
      </c>
      <c r="L50" s="1">
        <v>3139171</v>
      </c>
      <c r="M50" s="1" t="s">
        <v>189</v>
      </c>
      <c r="N50" s="5">
        <f>DATE(2024,9,19)</f>
        <v>45554</v>
      </c>
      <c r="O50" s="5">
        <f>DATE(2026,9,19)</f>
        <v>46284</v>
      </c>
      <c r="P50" s="5">
        <f t="shared" si="0"/>
        <v>47379</v>
      </c>
      <c r="Q50" s="1">
        <v>1600</v>
      </c>
      <c r="R50" s="1">
        <v>1600</v>
      </c>
      <c r="S50" s="1">
        <f t="shared" si="1"/>
        <v>1600</v>
      </c>
      <c r="T50" s="1">
        <v>1</v>
      </c>
      <c r="U50" s="1" t="str">
        <f t="shared" si="2"/>
        <v>SIM</v>
      </c>
      <c r="V50" s="1">
        <f t="shared" si="3"/>
        <v>731</v>
      </c>
      <c r="W50" s="4">
        <f t="shared" si="4"/>
        <v>2.188782489740082</v>
      </c>
      <c r="X50" s="4">
        <f t="shared" si="5"/>
        <v>798.90560875512995</v>
      </c>
      <c r="Y50" s="4">
        <f t="shared" si="6"/>
        <v>0.99863201094391241</v>
      </c>
      <c r="AB50" s="5">
        <f t="shared" si="7"/>
        <v>45292</v>
      </c>
      <c r="AC50" s="5">
        <f t="shared" si="8"/>
        <v>45657</v>
      </c>
      <c r="AD50" s="1">
        <v>36</v>
      </c>
      <c r="AE50" s="1">
        <f t="shared" si="9"/>
        <v>0</v>
      </c>
      <c r="AF50" s="1">
        <f t="shared" si="10"/>
        <v>104</v>
      </c>
      <c r="AG50" s="1">
        <f t="shared" si="11"/>
        <v>0</v>
      </c>
      <c r="AH50" s="1">
        <f t="shared" si="12"/>
        <v>0</v>
      </c>
      <c r="AI50" s="1">
        <f t="shared" si="13"/>
        <v>0</v>
      </c>
      <c r="AJ50" s="3">
        <f t="shared" si="14"/>
        <v>0.28415300546448086</v>
      </c>
      <c r="AK50" s="3">
        <f t="shared" si="15"/>
        <v>0.28376428726275105</v>
      </c>
      <c r="AL50" s="3">
        <f t="shared" si="16"/>
        <v>10.215514341459038</v>
      </c>
      <c r="AM50" s="3">
        <f t="shared" si="17"/>
        <v>10.215514341459038</v>
      </c>
      <c r="AN50" s="3">
        <f t="shared" si="18"/>
        <v>0</v>
      </c>
      <c r="AO50" s="3">
        <f t="shared" si="19"/>
        <v>10.215514341459038</v>
      </c>
      <c r="AP50" s="1" t="str">
        <f>INDEX({"EAD";"EAD";"EAD";"EAD MOOC";"EAD";"EAD";"EAD FP";"EAD";"PRESENCIAL";"PRESENCIAL";"PRESENCIAL";"PRESENCIAL"}, MATCH(CONCATENATE(E50, ".", F50),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1" spans="1:42" x14ac:dyDescent="0.25">
      <c r="A51" s="1" t="s">
        <v>27</v>
      </c>
      <c r="B51" s="1" t="s">
        <v>31</v>
      </c>
      <c r="C51" s="1" t="s">
        <v>29</v>
      </c>
      <c r="D51" s="1" t="s">
        <v>32</v>
      </c>
      <c r="E51" s="1" t="s">
        <v>120</v>
      </c>
      <c r="F51" s="1" t="s">
        <v>21</v>
      </c>
      <c r="G51" s="1" t="s">
        <v>121</v>
      </c>
      <c r="H51" s="1" t="s">
        <v>190</v>
      </c>
      <c r="I51" s="1" t="s">
        <v>191</v>
      </c>
      <c r="J51" s="1" t="s">
        <v>125</v>
      </c>
      <c r="K51" s="1" t="s">
        <v>109</v>
      </c>
      <c r="L51" s="1">
        <v>2134621</v>
      </c>
      <c r="M51" s="1" t="s">
        <v>192</v>
      </c>
      <c r="N51" s="5">
        <f>DATE(2017,2,6)</f>
        <v>42772</v>
      </c>
      <c r="O51" s="5">
        <f>DATE(2020,12,23)</f>
        <v>44188</v>
      </c>
      <c r="P51" s="5">
        <f t="shared" si="0"/>
        <v>45283</v>
      </c>
      <c r="Q51" s="1">
        <v>3466</v>
      </c>
      <c r="R51" s="1">
        <v>3600</v>
      </c>
      <c r="S51" s="1">
        <f t="shared" si="1"/>
        <v>3600</v>
      </c>
      <c r="T51" s="1">
        <v>2.5</v>
      </c>
      <c r="U51" s="1" t="str">
        <f t="shared" si="2"/>
        <v>NÃO</v>
      </c>
      <c r="V51" s="1">
        <f t="shared" si="3"/>
        <v>1417</v>
      </c>
      <c r="W51" s="4">
        <f t="shared" si="4"/>
        <v>2.4460127028934369</v>
      </c>
      <c r="X51" s="4">
        <f t="shared" si="5"/>
        <v>892.79463655610448</v>
      </c>
      <c r="Y51" s="4">
        <f t="shared" si="6"/>
        <v>1.1159932956951306</v>
      </c>
      <c r="AB51" s="5">
        <f t="shared" si="7"/>
        <v>45292</v>
      </c>
      <c r="AC51" s="5">
        <f t="shared" si="8"/>
        <v>45657</v>
      </c>
      <c r="AE51" s="1">
        <f t="shared" si="9"/>
        <v>0</v>
      </c>
      <c r="AF51" s="1">
        <f t="shared" si="10"/>
        <v>0</v>
      </c>
      <c r="AG51" s="1">
        <f t="shared" si="11"/>
        <v>0</v>
      </c>
      <c r="AH51" s="1">
        <f t="shared" si="12"/>
        <v>0</v>
      </c>
      <c r="AI51" s="1">
        <f t="shared" si="13"/>
        <v>183</v>
      </c>
      <c r="AJ51" s="3">
        <f t="shared" si="14"/>
        <v>0.5</v>
      </c>
      <c r="AK51" s="3">
        <f t="shared" si="15"/>
        <v>0.55799664784756531</v>
      </c>
      <c r="AL51" s="3">
        <f t="shared" si="16"/>
        <v>0</v>
      </c>
      <c r="AM51" s="3">
        <f t="shared" si="17"/>
        <v>0</v>
      </c>
      <c r="AN51" s="3">
        <f t="shared" si="18"/>
        <v>0</v>
      </c>
      <c r="AO51" s="3">
        <f t="shared" si="19"/>
        <v>0</v>
      </c>
      <c r="AP51" s="1" t="str">
        <f>INDEX({"EAD";"EAD";"EAD";"EAD MOOC";"EAD";"EAD";"EAD FP";"EAD";"PRESENCIAL";"PRESENCIAL";"PRESENCIAL";"PRESENCIAL"}, MATCH(CONCATENATE(E51, ".", F51),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2" spans="1:42" x14ac:dyDescent="0.25">
      <c r="A52" s="1" t="s">
        <v>27</v>
      </c>
      <c r="B52" s="1" t="s">
        <v>31</v>
      </c>
      <c r="C52" s="1" t="s">
        <v>29</v>
      </c>
      <c r="D52" s="1" t="s">
        <v>32</v>
      </c>
      <c r="E52" s="1" t="s">
        <v>120</v>
      </c>
      <c r="F52" s="1" t="s">
        <v>21</v>
      </c>
      <c r="G52" s="1" t="s">
        <v>121</v>
      </c>
      <c r="H52" s="1" t="s">
        <v>190</v>
      </c>
      <c r="I52" s="1" t="s">
        <v>191</v>
      </c>
      <c r="J52" s="1" t="s">
        <v>125</v>
      </c>
      <c r="K52" s="1" t="s">
        <v>109</v>
      </c>
      <c r="L52" s="1">
        <v>2483326</v>
      </c>
      <c r="M52" s="1" t="s">
        <v>193</v>
      </c>
      <c r="N52" s="5">
        <f>DATE(2018,2,19)</f>
        <v>43150</v>
      </c>
      <c r="O52" s="5">
        <f>DATE(2021,12,23)</f>
        <v>44553</v>
      </c>
      <c r="P52" s="5">
        <f t="shared" si="0"/>
        <v>45648</v>
      </c>
      <c r="Q52" s="1">
        <v>3466</v>
      </c>
      <c r="R52" s="1">
        <v>3600</v>
      </c>
      <c r="S52" s="1">
        <f t="shared" si="1"/>
        <v>3600</v>
      </c>
      <c r="T52" s="1">
        <v>2.5</v>
      </c>
      <c r="U52" s="1" t="str">
        <f t="shared" si="2"/>
        <v>SIM</v>
      </c>
      <c r="V52" s="1">
        <f t="shared" si="3"/>
        <v>1404</v>
      </c>
      <c r="W52" s="4">
        <f t="shared" si="4"/>
        <v>2.4686609686609686</v>
      </c>
      <c r="X52" s="4">
        <f t="shared" si="5"/>
        <v>901.06125356125358</v>
      </c>
      <c r="Y52" s="4">
        <f t="shared" si="6"/>
        <v>1.126326566951567</v>
      </c>
      <c r="AB52" s="5">
        <f t="shared" si="7"/>
        <v>45292</v>
      </c>
      <c r="AC52" s="5">
        <f t="shared" si="8"/>
        <v>45657</v>
      </c>
      <c r="AD52" s="1">
        <v>3</v>
      </c>
      <c r="AE52" s="1">
        <f t="shared" si="9"/>
        <v>0</v>
      </c>
      <c r="AF52" s="1">
        <f t="shared" si="10"/>
        <v>0</v>
      </c>
      <c r="AG52" s="1">
        <f t="shared" si="11"/>
        <v>0</v>
      </c>
      <c r="AH52" s="1">
        <f t="shared" si="12"/>
        <v>0</v>
      </c>
      <c r="AI52" s="1">
        <f t="shared" si="13"/>
        <v>183</v>
      </c>
      <c r="AJ52" s="3">
        <f t="shared" si="14"/>
        <v>0.5</v>
      </c>
      <c r="AK52" s="3">
        <f t="shared" si="15"/>
        <v>0.56316328347578348</v>
      </c>
      <c r="AL52" s="3">
        <f t="shared" si="16"/>
        <v>0.84474492521367517</v>
      </c>
      <c r="AM52" s="3">
        <f t="shared" si="17"/>
        <v>2.1118623130341878</v>
      </c>
      <c r="AN52" s="3">
        <f t="shared" si="18"/>
        <v>0</v>
      </c>
      <c r="AO52" s="3">
        <f t="shared" si="19"/>
        <v>2.1118623130341878</v>
      </c>
      <c r="AP52" s="1" t="str">
        <f>INDEX({"EAD";"EAD";"EAD";"EAD MOOC";"EAD";"EAD";"EAD FP";"EAD";"PRESENCIAL";"PRESENCIAL";"PRESENCIAL";"PRESENCIAL"}, MATCH(CONCATENATE(E52, ".", F52),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3" spans="1:42" x14ac:dyDescent="0.25">
      <c r="A53" s="1" t="s">
        <v>27</v>
      </c>
      <c r="B53" s="1" t="s">
        <v>31</v>
      </c>
      <c r="C53" s="1" t="s">
        <v>29</v>
      </c>
      <c r="D53" s="1" t="s">
        <v>32</v>
      </c>
      <c r="E53" s="1" t="s">
        <v>120</v>
      </c>
      <c r="F53" s="1" t="s">
        <v>21</v>
      </c>
      <c r="G53" s="1" t="s">
        <v>121</v>
      </c>
      <c r="H53" s="1" t="s">
        <v>190</v>
      </c>
      <c r="I53" s="1" t="s">
        <v>191</v>
      </c>
      <c r="J53" s="1" t="s">
        <v>125</v>
      </c>
      <c r="K53" s="1" t="s">
        <v>109</v>
      </c>
      <c r="L53" s="1">
        <v>2580607</v>
      </c>
      <c r="M53" s="1" t="s">
        <v>194</v>
      </c>
      <c r="N53" s="5">
        <f>DATE(2019,2,4)</f>
        <v>43500</v>
      </c>
      <c r="O53" s="5">
        <f>DATE(2022,12,23)</f>
        <v>44918</v>
      </c>
      <c r="P53" s="5">
        <f t="shared" si="0"/>
        <v>46013</v>
      </c>
      <c r="Q53" s="1">
        <v>3466</v>
      </c>
      <c r="R53" s="1">
        <v>3600</v>
      </c>
      <c r="S53" s="1">
        <f t="shared" si="1"/>
        <v>3600</v>
      </c>
      <c r="T53" s="1">
        <v>2.5</v>
      </c>
      <c r="U53" s="1" t="str">
        <f t="shared" si="2"/>
        <v>SIM</v>
      </c>
      <c r="V53" s="1">
        <f t="shared" si="3"/>
        <v>1419</v>
      </c>
      <c r="W53" s="4">
        <f t="shared" si="4"/>
        <v>2.4425651867512332</v>
      </c>
      <c r="X53" s="4">
        <f t="shared" si="5"/>
        <v>891.53629316420017</v>
      </c>
      <c r="Y53" s="4">
        <f t="shared" si="6"/>
        <v>1.1144203664552501</v>
      </c>
      <c r="AB53" s="5">
        <f t="shared" si="7"/>
        <v>45292</v>
      </c>
      <c r="AC53" s="5">
        <f t="shared" si="8"/>
        <v>45657</v>
      </c>
      <c r="AD53" s="1">
        <v>8</v>
      </c>
      <c r="AE53" s="1">
        <f t="shared" si="9"/>
        <v>0</v>
      </c>
      <c r="AF53" s="1">
        <f t="shared" si="10"/>
        <v>0</v>
      </c>
      <c r="AG53" s="1">
        <f t="shared" si="11"/>
        <v>0</v>
      </c>
      <c r="AH53" s="1">
        <f t="shared" si="12"/>
        <v>0</v>
      </c>
      <c r="AI53" s="1">
        <f t="shared" si="13"/>
        <v>183</v>
      </c>
      <c r="AJ53" s="3">
        <f t="shared" si="14"/>
        <v>0.5</v>
      </c>
      <c r="AK53" s="3">
        <f t="shared" si="15"/>
        <v>0.55721018322762506</v>
      </c>
      <c r="AL53" s="3">
        <f t="shared" si="16"/>
        <v>2.2288407329105002</v>
      </c>
      <c r="AM53" s="3">
        <f t="shared" si="17"/>
        <v>5.5721018322762506</v>
      </c>
      <c r="AN53" s="3">
        <f t="shared" si="18"/>
        <v>0</v>
      </c>
      <c r="AO53" s="3">
        <f t="shared" si="19"/>
        <v>5.5721018322762506</v>
      </c>
      <c r="AP53" s="1" t="str">
        <f>INDEX({"EAD";"EAD";"EAD";"EAD MOOC";"EAD";"EAD";"EAD FP";"EAD";"PRESENCIAL";"PRESENCIAL";"PRESENCIAL";"PRESENCIAL"}, MATCH(CONCATENATE(E53, ".", F53),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4" spans="1:42" x14ac:dyDescent="0.25">
      <c r="A54" s="1" t="s">
        <v>27</v>
      </c>
      <c r="B54" s="1" t="s">
        <v>31</v>
      </c>
      <c r="C54" s="1" t="s">
        <v>29</v>
      </c>
      <c r="D54" s="1" t="s">
        <v>32</v>
      </c>
      <c r="E54" s="1" t="s">
        <v>120</v>
      </c>
      <c r="F54" s="1" t="s">
        <v>21</v>
      </c>
      <c r="G54" s="1" t="s">
        <v>128</v>
      </c>
      <c r="H54" s="1" t="s">
        <v>195</v>
      </c>
      <c r="I54" s="1" t="s">
        <v>191</v>
      </c>
      <c r="J54" s="1" t="s">
        <v>125</v>
      </c>
      <c r="K54" s="1" t="s">
        <v>130</v>
      </c>
      <c r="L54" s="1">
        <v>2681541</v>
      </c>
      <c r="M54" s="1" t="s">
        <v>196</v>
      </c>
      <c r="N54" s="5">
        <f>DATE(2020,2,3)</f>
        <v>43864</v>
      </c>
      <c r="O54" s="5">
        <f>DATE(2022,12,23)</f>
        <v>44918</v>
      </c>
      <c r="P54" s="5">
        <f t="shared" si="0"/>
        <v>46013</v>
      </c>
      <c r="Q54" s="1">
        <v>3230</v>
      </c>
      <c r="R54" s="1">
        <v>1200</v>
      </c>
      <c r="S54" s="1">
        <f t="shared" si="1"/>
        <v>3200</v>
      </c>
      <c r="T54" s="1">
        <v>2.5</v>
      </c>
      <c r="U54" s="1" t="str">
        <f t="shared" si="2"/>
        <v>SIM</v>
      </c>
      <c r="V54" s="1">
        <f t="shared" si="3"/>
        <v>1055</v>
      </c>
      <c r="W54" s="4">
        <f t="shared" si="4"/>
        <v>3.0331753554502368</v>
      </c>
      <c r="X54" s="4">
        <f t="shared" si="5"/>
        <v>1107.1090047393363</v>
      </c>
      <c r="Y54" s="4">
        <f t="shared" si="6"/>
        <v>1.3838862559241705</v>
      </c>
      <c r="AB54" s="5">
        <f t="shared" si="7"/>
        <v>45292</v>
      </c>
      <c r="AC54" s="5">
        <f t="shared" si="8"/>
        <v>45657</v>
      </c>
      <c r="AD54" s="1">
        <v>2</v>
      </c>
      <c r="AE54" s="1">
        <f t="shared" si="9"/>
        <v>0</v>
      </c>
      <c r="AF54" s="1">
        <f t="shared" si="10"/>
        <v>0</v>
      </c>
      <c r="AG54" s="1">
        <f t="shared" si="11"/>
        <v>0</v>
      </c>
      <c r="AH54" s="1">
        <f t="shared" si="12"/>
        <v>0</v>
      </c>
      <c r="AI54" s="1">
        <f t="shared" si="13"/>
        <v>183</v>
      </c>
      <c r="AJ54" s="3">
        <f t="shared" si="14"/>
        <v>0.5</v>
      </c>
      <c r="AK54" s="3">
        <f t="shared" si="15"/>
        <v>0.69194312796208524</v>
      </c>
      <c r="AL54" s="3">
        <f t="shared" si="16"/>
        <v>0.69194312796208524</v>
      </c>
      <c r="AM54" s="3">
        <f t="shared" si="17"/>
        <v>1.729857819905213</v>
      </c>
      <c r="AN54" s="3">
        <f t="shared" si="18"/>
        <v>0</v>
      </c>
      <c r="AO54" s="3">
        <f t="shared" si="19"/>
        <v>1.729857819905213</v>
      </c>
      <c r="AP54" s="1" t="str">
        <f>INDEX({"EAD";"EAD";"EAD";"EAD MOOC";"EAD";"EAD";"EAD FP";"EAD";"PRESENCIAL";"PRESENCIAL";"PRESENCIAL";"PRESENCIAL"}, MATCH(CONCATENATE(E54, ".", F54),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5" spans="1:42" x14ac:dyDescent="0.25">
      <c r="A55" s="1" t="s">
        <v>27</v>
      </c>
      <c r="B55" s="1" t="s">
        <v>31</v>
      </c>
      <c r="C55" s="1" t="s">
        <v>29</v>
      </c>
      <c r="D55" s="1" t="s">
        <v>32</v>
      </c>
      <c r="E55" s="1" t="s">
        <v>120</v>
      </c>
      <c r="F55" s="1" t="s">
        <v>21</v>
      </c>
      <c r="G55" s="1" t="s">
        <v>121</v>
      </c>
      <c r="H55" s="1" t="s">
        <v>190</v>
      </c>
      <c r="I55" s="1" t="s">
        <v>191</v>
      </c>
      <c r="J55" s="1" t="s">
        <v>125</v>
      </c>
      <c r="K55" s="1" t="s">
        <v>109</v>
      </c>
      <c r="L55" s="1">
        <v>2681588</v>
      </c>
      <c r="M55" s="1" t="s">
        <v>197</v>
      </c>
      <c r="N55" s="5">
        <f>DATE(2020,2,3)</f>
        <v>43864</v>
      </c>
      <c r="O55" s="5">
        <f>DATE(2023,12,22)</f>
        <v>45282</v>
      </c>
      <c r="P55" s="5">
        <f t="shared" si="0"/>
        <v>46377</v>
      </c>
      <c r="Q55" s="1">
        <v>3466</v>
      </c>
      <c r="R55" s="1">
        <v>3600</v>
      </c>
      <c r="S55" s="1">
        <f t="shared" si="1"/>
        <v>3600</v>
      </c>
      <c r="T55" s="1">
        <v>2.5</v>
      </c>
      <c r="U55" s="1" t="str">
        <f t="shared" si="2"/>
        <v>SIM</v>
      </c>
      <c r="V55" s="1">
        <f t="shared" si="3"/>
        <v>1419</v>
      </c>
      <c r="W55" s="4">
        <f t="shared" si="4"/>
        <v>2.4425651867512332</v>
      </c>
      <c r="X55" s="4">
        <f t="shared" si="5"/>
        <v>891.53629316420017</v>
      </c>
      <c r="Y55" s="4">
        <f t="shared" si="6"/>
        <v>1.1144203664552501</v>
      </c>
      <c r="AB55" s="5">
        <f t="shared" si="7"/>
        <v>45292</v>
      </c>
      <c r="AC55" s="5">
        <f t="shared" si="8"/>
        <v>45657</v>
      </c>
      <c r="AD55" s="1">
        <v>11</v>
      </c>
      <c r="AE55" s="1">
        <f t="shared" si="9"/>
        <v>0</v>
      </c>
      <c r="AF55" s="1">
        <f t="shared" si="10"/>
        <v>0</v>
      </c>
      <c r="AG55" s="1">
        <f t="shared" si="11"/>
        <v>0</v>
      </c>
      <c r="AH55" s="1">
        <f t="shared" si="12"/>
        <v>0</v>
      </c>
      <c r="AI55" s="1">
        <f t="shared" si="13"/>
        <v>183</v>
      </c>
      <c r="AJ55" s="3">
        <f t="shared" si="14"/>
        <v>0.5</v>
      </c>
      <c r="AK55" s="3">
        <f t="shared" si="15"/>
        <v>0.55721018322762506</v>
      </c>
      <c r="AL55" s="3">
        <f t="shared" si="16"/>
        <v>3.064656007751938</v>
      </c>
      <c r="AM55" s="3">
        <f t="shared" si="17"/>
        <v>7.6616400193798455</v>
      </c>
      <c r="AN55" s="3">
        <f t="shared" si="18"/>
        <v>0</v>
      </c>
      <c r="AO55" s="3">
        <f t="shared" si="19"/>
        <v>7.6616400193798455</v>
      </c>
      <c r="AP55" s="1" t="str">
        <f>INDEX({"EAD";"EAD";"EAD";"EAD MOOC";"EAD";"EAD";"EAD FP";"EAD";"PRESENCIAL";"PRESENCIAL";"PRESENCIAL";"PRESENCIAL"}, MATCH(CONCATENATE(E55, ".", F55),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6" spans="1:42" x14ac:dyDescent="0.25">
      <c r="A56" s="1" t="s">
        <v>27</v>
      </c>
      <c r="B56" s="1" t="s">
        <v>31</v>
      </c>
      <c r="C56" s="1" t="s">
        <v>29</v>
      </c>
      <c r="D56" s="1" t="s">
        <v>32</v>
      </c>
      <c r="E56" s="1" t="s">
        <v>120</v>
      </c>
      <c r="F56" s="1" t="s">
        <v>21</v>
      </c>
      <c r="G56" s="1" t="s">
        <v>128</v>
      </c>
      <c r="H56" s="1" t="s">
        <v>195</v>
      </c>
      <c r="I56" s="1" t="s">
        <v>191</v>
      </c>
      <c r="J56" s="1" t="s">
        <v>125</v>
      </c>
      <c r="K56" s="1" t="s">
        <v>130</v>
      </c>
      <c r="L56" s="1">
        <v>2759229</v>
      </c>
      <c r="M56" s="1" t="s">
        <v>198</v>
      </c>
      <c r="N56" s="5">
        <f>DATE(2021,3,22)</f>
        <v>44277</v>
      </c>
      <c r="O56" s="5">
        <f>DATE(2023,12,22)</f>
        <v>45282</v>
      </c>
      <c r="P56" s="5">
        <f t="shared" si="0"/>
        <v>46377</v>
      </c>
      <c r="Q56" s="1">
        <v>3230</v>
      </c>
      <c r="R56" s="1">
        <v>1200</v>
      </c>
      <c r="S56" s="1">
        <f t="shared" si="1"/>
        <v>3200</v>
      </c>
      <c r="T56" s="1">
        <v>2.5</v>
      </c>
      <c r="U56" s="1" t="str">
        <f t="shared" si="2"/>
        <v>SIM</v>
      </c>
      <c r="V56" s="1">
        <f t="shared" si="3"/>
        <v>1006</v>
      </c>
      <c r="W56" s="4">
        <f t="shared" si="4"/>
        <v>3.1809145129224654</v>
      </c>
      <c r="X56" s="4">
        <f t="shared" si="5"/>
        <v>1161.0337972166999</v>
      </c>
      <c r="Y56" s="4">
        <f t="shared" si="6"/>
        <v>1.4512922465208749</v>
      </c>
      <c r="AB56" s="5">
        <f t="shared" si="7"/>
        <v>45292</v>
      </c>
      <c r="AC56" s="5">
        <f t="shared" si="8"/>
        <v>45657</v>
      </c>
      <c r="AD56" s="1">
        <v>8</v>
      </c>
      <c r="AE56" s="1">
        <f t="shared" si="9"/>
        <v>0</v>
      </c>
      <c r="AF56" s="1">
        <f t="shared" si="10"/>
        <v>0</v>
      </c>
      <c r="AG56" s="1">
        <f t="shared" si="11"/>
        <v>0</v>
      </c>
      <c r="AH56" s="1">
        <f t="shared" si="12"/>
        <v>0</v>
      </c>
      <c r="AI56" s="1">
        <f t="shared" si="13"/>
        <v>183</v>
      </c>
      <c r="AJ56" s="3">
        <f t="shared" si="14"/>
        <v>0.5</v>
      </c>
      <c r="AK56" s="3">
        <f t="shared" si="15"/>
        <v>0.72564612326043743</v>
      </c>
      <c r="AL56" s="3">
        <f t="shared" si="16"/>
        <v>2.9025844930417497</v>
      </c>
      <c r="AM56" s="3">
        <f t="shared" si="17"/>
        <v>7.2564612326043747</v>
      </c>
      <c r="AN56" s="3">
        <f t="shared" si="18"/>
        <v>0</v>
      </c>
      <c r="AO56" s="3">
        <f t="shared" si="19"/>
        <v>7.2564612326043747</v>
      </c>
      <c r="AP56" s="1" t="str">
        <f>INDEX({"EAD";"EAD";"EAD";"EAD MOOC";"EAD";"EAD";"EAD FP";"EAD";"PRESENCIAL";"PRESENCIAL";"PRESENCIAL";"PRESENCIAL"}, MATCH(CONCATENATE(E56, ".", F56),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7" spans="1:42" x14ac:dyDescent="0.25">
      <c r="A57" s="1" t="s">
        <v>27</v>
      </c>
      <c r="B57" s="1" t="s">
        <v>31</v>
      </c>
      <c r="C57" s="1" t="s">
        <v>29</v>
      </c>
      <c r="D57" s="1" t="s">
        <v>32</v>
      </c>
      <c r="E57" s="1" t="s">
        <v>120</v>
      </c>
      <c r="F57" s="1" t="s">
        <v>21</v>
      </c>
      <c r="G57" s="1" t="s">
        <v>121</v>
      </c>
      <c r="H57" s="1" t="s">
        <v>190</v>
      </c>
      <c r="I57" s="1" t="s">
        <v>191</v>
      </c>
      <c r="J57" s="1" t="s">
        <v>125</v>
      </c>
      <c r="K57" s="1" t="s">
        <v>109</v>
      </c>
      <c r="L57" s="1">
        <v>2759230</v>
      </c>
      <c r="M57" s="1" t="s">
        <v>199</v>
      </c>
      <c r="N57" s="5">
        <f>DATE(2021,3,22)</f>
        <v>44277</v>
      </c>
      <c r="O57" s="5">
        <f>DATE(2025,2,13)</f>
        <v>45701</v>
      </c>
      <c r="P57" s="5">
        <f t="shared" si="0"/>
        <v>46796</v>
      </c>
      <c r="Q57" s="1">
        <v>3466</v>
      </c>
      <c r="R57" s="1">
        <v>3600</v>
      </c>
      <c r="S57" s="1">
        <f t="shared" si="1"/>
        <v>3600</v>
      </c>
      <c r="T57" s="1">
        <v>2.5</v>
      </c>
      <c r="U57" s="1" t="str">
        <f t="shared" si="2"/>
        <v>SIM</v>
      </c>
      <c r="V57" s="1">
        <f t="shared" si="3"/>
        <v>1425</v>
      </c>
      <c r="W57" s="4">
        <f t="shared" si="4"/>
        <v>2.4322807017543862</v>
      </c>
      <c r="X57" s="4">
        <f t="shared" si="5"/>
        <v>887.78245614035097</v>
      </c>
      <c r="Y57" s="4">
        <f t="shared" si="6"/>
        <v>1.1097280701754386</v>
      </c>
      <c r="AB57" s="5">
        <f t="shared" si="7"/>
        <v>45292</v>
      </c>
      <c r="AC57" s="5">
        <f t="shared" si="8"/>
        <v>45657</v>
      </c>
      <c r="AD57" s="1">
        <v>20</v>
      </c>
      <c r="AE57" s="1">
        <f t="shared" si="9"/>
        <v>366</v>
      </c>
      <c r="AF57" s="1">
        <f t="shared" si="10"/>
        <v>0</v>
      </c>
      <c r="AG57" s="1">
        <f t="shared" si="11"/>
        <v>0</v>
      </c>
      <c r="AH57" s="1">
        <f t="shared" si="12"/>
        <v>0</v>
      </c>
      <c r="AI57" s="1">
        <f t="shared" si="13"/>
        <v>0</v>
      </c>
      <c r="AJ57" s="3">
        <f t="shared" si="14"/>
        <v>1</v>
      </c>
      <c r="AK57" s="3">
        <f t="shared" si="15"/>
        <v>1.1097280701754386</v>
      </c>
      <c r="AL57" s="3">
        <f t="shared" si="16"/>
        <v>22.194561403508771</v>
      </c>
      <c r="AM57" s="3">
        <f t="shared" si="17"/>
        <v>55.486403508771929</v>
      </c>
      <c r="AN57" s="3">
        <f t="shared" si="18"/>
        <v>0</v>
      </c>
      <c r="AO57" s="3">
        <f t="shared" si="19"/>
        <v>55.486403508771929</v>
      </c>
      <c r="AP57" s="1" t="str">
        <f>INDEX({"EAD";"EAD";"EAD";"EAD MOOC";"EAD";"EAD";"EAD FP";"EAD";"PRESENCIAL";"PRESENCIAL";"PRESENCIAL";"PRESENCIAL"}, MATCH(CONCATENATE(E57, ".", F57),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8" spans="1:42" x14ac:dyDescent="0.25">
      <c r="A58" s="1" t="s">
        <v>27</v>
      </c>
      <c r="B58" s="1" t="s">
        <v>31</v>
      </c>
      <c r="C58" s="1" t="s">
        <v>29</v>
      </c>
      <c r="D58" s="1" t="s">
        <v>32</v>
      </c>
      <c r="E58" s="1" t="s">
        <v>120</v>
      </c>
      <c r="F58" s="1" t="s">
        <v>21</v>
      </c>
      <c r="G58" s="1" t="s">
        <v>128</v>
      </c>
      <c r="H58" s="1" t="s">
        <v>195</v>
      </c>
      <c r="I58" s="1" t="s">
        <v>191</v>
      </c>
      <c r="J58" s="1" t="s">
        <v>125</v>
      </c>
      <c r="K58" s="1" t="s">
        <v>130</v>
      </c>
      <c r="L58" s="1">
        <v>2849591</v>
      </c>
      <c r="M58" s="1" t="s">
        <v>200</v>
      </c>
      <c r="N58" s="5">
        <f>DATE(2022,2,21)</f>
        <v>44613</v>
      </c>
      <c r="O58" s="5">
        <f>DATE(2024,12,20)</f>
        <v>45646</v>
      </c>
      <c r="P58" s="5">
        <f t="shared" si="0"/>
        <v>46741</v>
      </c>
      <c r="Q58" s="1">
        <v>3230</v>
      </c>
      <c r="R58" s="1">
        <v>1200</v>
      </c>
      <c r="S58" s="1">
        <f t="shared" si="1"/>
        <v>3200</v>
      </c>
      <c r="T58" s="1">
        <v>2.5</v>
      </c>
      <c r="U58" s="1" t="str">
        <f t="shared" si="2"/>
        <v>SIM</v>
      </c>
      <c r="V58" s="1">
        <f t="shared" si="3"/>
        <v>1034</v>
      </c>
      <c r="W58" s="4">
        <f t="shared" si="4"/>
        <v>3.094777562862669</v>
      </c>
      <c r="X58" s="4">
        <f t="shared" si="5"/>
        <v>1129.5938104448742</v>
      </c>
      <c r="Y58" s="4">
        <f t="shared" si="6"/>
        <v>1.4119922630560928</v>
      </c>
      <c r="AB58" s="5">
        <f t="shared" si="7"/>
        <v>45292</v>
      </c>
      <c r="AC58" s="5">
        <f t="shared" si="8"/>
        <v>45657</v>
      </c>
      <c r="AD58" s="1">
        <v>48</v>
      </c>
      <c r="AE58" s="1">
        <f t="shared" si="9"/>
        <v>0</v>
      </c>
      <c r="AF58" s="1">
        <f t="shared" si="10"/>
        <v>0</v>
      </c>
      <c r="AG58" s="1">
        <f t="shared" si="11"/>
        <v>355</v>
      </c>
      <c r="AH58" s="1">
        <f t="shared" si="12"/>
        <v>0</v>
      </c>
      <c r="AI58" s="1">
        <f t="shared" si="13"/>
        <v>0</v>
      </c>
      <c r="AJ58" s="3">
        <f t="shared" si="14"/>
        <v>0.9699453551912568</v>
      </c>
      <c r="AK58" s="3">
        <f t="shared" si="15"/>
        <v>1.3695553371172484</v>
      </c>
      <c r="AL58" s="3">
        <f t="shared" si="16"/>
        <v>65.738656181627931</v>
      </c>
      <c r="AM58" s="3">
        <f t="shared" si="17"/>
        <v>164.34664045406981</v>
      </c>
      <c r="AN58" s="3">
        <f t="shared" si="18"/>
        <v>0</v>
      </c>
      <c r="AO58" s="3">
        <f t="shared" si="19"/>
        <v>164.34664045406981</v>
      </c>
      <c r="AP58" s="1" t="str">
        <f>INDEX({"EAD";"EAD";"EAD";"EAD MOOC";"EAD";"EAD";"EAD FP";"EAD";"PRESENCIAL";"PRESENCIAL";"PRESENCIAL";"PRESENCIAL"}, MATCH(CONCATENATE(E58, ".", F58),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9" spans="1:42" x14ac:dyDescent="0.25">
      <c r="A59" s="1" t="s">
        <v>27</v>
      </c>
      <c r="B59" s="1" t="s">
        <v>31</v>
      </c>
      <c r="C59" s="1" t="s">
        <v>29</v>
      </c>
      <c r="D59" s="1" t="s">
        <v>32</v>
      </c>
      <c r="E59" s="1" t="s">
        <v>120</v>
      </c>
      <c r="F59" s="1" t="s">
        <v>21</v>
      </c>
      <c r="G59" s="1" t="s">
        <v>121</v>
      </c>
      <c r="H59" s="1" t="s">
        <v>190</v>
      </c>
      <c r="I59" s="1" t="s">
        <v>191</v>
      </c>
      <c r="J59" s="1" t="s">
        <v>125</v>
      </c>
      <c r="K59" s="1" t="s">
        <v>109</v>
      </c>
      <c r="L59" s="1">
        <v>2849617</v>
      </c>
      <c r="M59" s="1" t="s">
        <v>201</v>
      </c>
      <c r="N59" s="5">
        <f>DATE(2022,2,21)</f>
        <v>44613</v>
      </c>
      <c r="O59" s="5">
        <f>DATE(2025,12,19)</f>
        <v>46010</v>
      </c>
      <c r="P59" s="5">
        <f t="shared" si="0"/>
        <v>47105</v>
      </c>
      <c r="Q59" s="1">
        <v>3466</v>
      </c>
      <c r="R59" s="1">
        <v>3600</v>
      </c>
      <c r="S59" s="1">
        <f t="shared" si="1"/>
        <v>3600</v>
      </c>
      <c r="T59" s="1">
        <v>2.5</v>
      </c>
      <c r="U59" s="1" t="str">
        <f t="shared" si="2"/>
        <v>SIM</v>
      </c>
      <c r="V59" s="1">
        <f t="shared" si="3"/>
        <v>1398</v>
      </c>
      <c r="W59" s="4">
        <f t="shared" si="4"/>
        <v>2.4792560801144492</v>
      </c>
      <c r="X59" s="4">
        <f t="shared" si="5"/>
        <v>904.928469241774</v>
      </c>
      <c r="Y59" s="4">
        <f t="shared" si="6"/>
        <v>1.1311605865522174</v>
      </c>
      <c r="AB59" s="5">
        <f t="shared" si="7"/>
        <v>45292</v>
      </c>
      <c r="AC59" s="5">
        <f t="shared" si="8"/>
        <v>45657</v>
      </c>
      <c r="AD59" s="1">
        <v>17</v>
      </c>
      <c r="AE59" s="1">
        <f t="shared" si="9"/>
        <v>366</v>
      </c>
      <c r="AF59" s="1">
        <f t="shared" si="10"/>
        <v>0</v>
      </c>
      <c r="AG59" s="1">
        <f t="shared" si="11"/>
        <v>0</v>
      </c>
      <c r="AH59" s="1">
        <f t="shared" si="12"/>
        <v>0</v>
      </c>
      <c r="AI59" s="1">
        <f t="shared" si="13"/>
        <v>0</v>
      </c>
      <c r="AJ59" s="3">
        <f t="shared" si="14"/>
        <v>1</v>
      </c>
      <c r="AK59" s="3">
        <f t="shared" si="15"/>
        <v>1.1311605865522174</v>
      </c>
      <c r="AL59" s="3">
        <f t="shared" si="16"/>
        <v>19.229729971387695</v>
      </c>
      <c r="AM59" s="3">
        <f t="shared" si="17"/>
        <v>48.074324928469238</v>
      </c>
      <c r="AN59" s="3">
        <f t="shared" si="18"/>
        <v>0</v>
      </c>
      <c r="AO59" s="3">
        <f t="shared" si="19"/>
        <v>48.074324928469238</v>
      </c>
      <c r="AP59" s="1" t="str">
        <f>INDEX({"EAD";"EAD";"EAD";"EAD MOOC";"EAD";"EAD";"EAD FP";"EAD";"PRESENCIAL";"PRESENCIAL";"PRESENCIAL";"PRESENCIAL"}, MATCH(CONCATENATE(E59, ".", F59),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0" spans="1:42" x14ac:dyDescent="0.25">
      <c r="A60" s="1" t="s">
        <v>27</v>
      </c>
      <c r="B60" s="1" t="s">
        <v>31</v>
      </c>
      <c r="C60" s="1" t="s">
        <v>29</v>
      </c>
      <c r="D60" s="1" t="s">
        <v>32</v>
      </c>
      <c r="E60" s="1" t="s">
        <v>120</v>
      </c>
      <c r="F60" s="1" t="s">
        <v>21</v>
      </c>
      <c r="G60" s="1" t="s">
        <v>128</v>
      </c>
      <c r="H60" s="1" t="s">
        <v>195</v>
      </c>
      <c r="I60" s="1" t="s">
        <v>191</v>
      </c>
      <c r="J60" s="1" t="s">
        <v>125</v>
      </c>
      <c r="K60" s="1" t="s">
        <v>130</v>
      </c>
      <c r="L60" s="1">
        <v>2972127</v>
      </c>
      <c r="M60" s="1" t="s">
        <v>202</v>
      </c>
      <c r="N60" s="5">
        <f>DATE(2023,1,30)</f>
        <v>44956</v>
      </c>
      <c r="O60" s="5">
        <f>DATE(2025,12,19)</f>
        <v>46010</v>
      </c>
      <c r="P60" s="5">
        <f t="shared" si="0"/>
        <v>47105</v>
      </c>
      <c r="Q60" s="1">
        <v>3230</v>
      </c>
      <c r="R60" s="1">
        <v>1200</v>
      </c>
      <c r="S60" s="1">
        <f t="shared" si="1"/>
        <v>3200</v>
      </c>
      <c r="T60" s="1">
        <v>2.5</v>
      </c>
      <c r="U60" s="1" t="str">
        <f t="shared" si="2"/>
        <v>SIM</v>
      </c>
      <c r="V60" s="1">
        <f t="shared" si="3"/>
        <v>1055</v>
      </c>
      <c r="W60" s="4">
        <f t="shared" si="4"/>
        <v>3.0331753554502368</v>
      </c>
      <c r="X60" s="4">
        <f t="shared" si="5"/>
        <v>1107.1090047393363</v>
      </c>
      <c r="Y60" s="4">
        <f t="shared" si="6"/>
        <v>1.3838862559241705</v>
      </c>
      <c r="AB60" s="5">
        <f t="shared" si="7"/>
        <v>45292</v>
      </c>
      <c r="AC60" s="5">
        <f t="shared" si="8"/>
        <v>45657</v>
      </c>
      <c r="AD60" s="1">
        <v>68</v>
      </c>
      <c r="AE60" s="1">
        <f t="shared" si="9"/>
        <v>366</v>
      </c>
      <c r="AF60" s="1">
        <f t="shared" si="10"/>
        <v>0</v>
      </c>
      <c r="AG60" s="1">
        <f t="shared" si="11"/>
        <v>0</v>
      </c>
      <c r="AH60" s="1">
        <f t="shared" si="12"/>
        <v>0</v>
      </c>
      <c r="AI60" s="1">
        <f t="shared" si="13"/>
        <v>0</v>
      </c>
      <c r="AJ60" s="3">
        <f t="shared" si="14"/>
        <v>1</v>
      </c>
      <c r="AK60" s="3">
        <f t="shared" si="15"/>
        <v>1.3838862559241705</v>
      </c>
      <c r="AL60" s="3">
        <f t="shared" si="16"/>
        <v>94.104265402843595</v>
      </c>
      <c r="AM60" s="3">
        <f t="shared" si="17"/>
        <v>235.26066350710897</v>
      </c>
      <c r="AN60" s="3">
        <f t="shared" si="18"/>
        <v>0</v>
      </c>
      <c r="AO60" s="3">
        <f t="shared" si="19"/>
        <v>235.26066350710897</v>
      </c>
      <c r="AP60" s="1" t="str">
        <f>INDEX({"EAD";"EAD";"EAD";"EAD MOOC";"EAD";"EAD";"EAD FP";"EAD";"PRESENCIAL";"PRESENCIAL";"PRESENCIAL";"PRESENCIAL"}, MATCH(CONCATENATE(E60, ".", F60),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1" spans="1:42" x14ac:dyDescent="0.25">
      <c r="A61" s="1" t="s">
        <v>27</v>
      </c>
      <c r="B61" s="1" t="s">
        <v>31</v>
      </c>
      <c r="C61" s="1" t="s">
        <v>29</v>
      </c>
      <c r="D61" s="1" t="s">
        <v>32</v>
      </c>
      <c r="E61" s="1" t="s">
        <v>120</v>
      </c>
      <c r="F61" s="1" t="s">
        <v>21</v>
      </c>
      <c r="G61" s="1" t="s">
        <v>121</v>
      </c>
      <c r="H61" s="1" t="s">
        <v>190</v>
      </c>
      <c r="I61" s="1" t="s">
        <v>191</v>
      </c>
      <c r="J61" s="1" t="s">
        <v>125</v>
      </c>
      <c r="K61" s="1" t="s">
        <v>109</v>
      </c>
      <c r="L61" s="1">
        <v>2972129</v>
      </c>
      <c r="M61" s="1" t="s">
        <v>203</v>
      </c>
      <c r="N61" s="5">
        <f>DATE(2023,1,30)</f>
        <v>44956</v>
      </c>
      <c r="O61" s="5">
        <f>DATE(2026,12,18)</f>
        <v>46374</v>
      </c>
      <c r="P61" s="5">
        <f t="shared" si="0"/>
        <v>47469</v>
      </c>
      <c r="Q61" s="1">
        <v>3211</v>
      </c>
      <c r="R61" s="1">
        <v>3600</v>
      </c>
      <c r="S61" s="1">
        <f t="shared" si="1"/>
        <v>3600</v>
      </c>
      <c r="T61" s="1">
        <v>2.5</v>
      </c>
      <c r="U61" s="1" t="str">
        <f t="shared" si="2"/>
        <v>SIM</v>
      </c>
      <c r="V61" s="1">
        <f t="shared" si="3"/>
        <v>1419</v>
      </c>
      <c r="W61" s="4">
        <f t="shared" si="4"/>
        <v>2.262861169837914</v>
      </c>
      <c r="X61" s="4">
        <f t="shared" si="5"/>
        <v>825.94432699083859</v>
      </c>
      <c r="Y61" s="4">
        <f t="shared" si="6"/>
        <v>1.0324304087385483</v>
      </c>
      <c r="AB61" s="5">
        <f t="shared" si="7"/>
        <v>45292</v>
      </c>
      <c r="AC61" s="5">
        <f t="shared" si="8"/>
        <v>45657</v>
      </c>
      <c r="AD61" s="1">
        <v>34</v>
      </c>
      <c r="AE61" s="1">
        <f t="shared" si="9"/>
        <v>366</v>
      </c>
      <c r="AF61" s="1">
        <f t="shared" si="10"/>
        <v>0</v>
      </c>
      <c r="AG61" s="1">
        <f t="shared" si="11"/>
        <v>0</v>
      </c>
      <c r="AH61" s="1">
        <f t="shared" si="12"/>
        <v>0</v>
      </c>
      <c r="AI61" s="1">
        <f t="shared" si="13"/>
        <v>0</v>
      </c>
      <c r="AJ61" s="3">
        <f t="shared" si="14"/>
        <v>1</v>
      </c>
      <c r="AK61" s="3">
        <f t="shared" si="15"/>
        <v>1.0324304087385483</v>
      </c>
      <c r="AL61" s="3">
        <f t="shared" si="16"/>
        <v>35.102633897110643</v>
      </c>
      <c r="AM61" s="3">
        <f t="shared" si="17"/>
        <v>87.75658474277661</v>
      </c>
      <c r="AN61" s="3">
        <f t="shared" si="18"/>
        <v>0</v>
      </c>
      <c r="AO61" s="3">
        <f t="shared" si="19"/>
        <v>87.75658474277661</v>
      </c>
      <c r="AP61" s="1" t="str">
        <f>INDEX({"EAD";"EAD";"EAD";"EAD MOOC";"EAD";"EAD";"EAD FP";"EAD";"PRESENCIAL";"PRESENCIAL";"PRESENCIAL";"PRESENCIAL"}, MATCH(CONCATENATE(E61, ".", F61),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2" spans="1:42" x14ac:dyDescent="0.25">
      <c r="A62" s="1" t="s">
        <v>27</v>
      </c>
      <c r="B62" s="1" t="s">
        <v>31</v>
      </c>
      <c r="C62" s="1" t="s">
        <v>29</v>
      </c>
      <c r="D62" s="1" t="s">
        <v>32</v>
      </c>
      <c r="E62" s="1" t="s">
        <v>120</v>
      </c>
      <c r="F62" s="1" t="s">
        <v>21</v>
      </c>
      <c r="G62" s="1" t="s">
        <v>128</v>
      </c>
      <c r="H62" s="1" t="s">
        <v>195</v>
      </c>
      <c r="I62" s="1" t="s">
        <v>191</v>
      </c>
      <c r="J62" s="1" t="s">
        <v>125</v>
      </c>
      <c r="K62" s="1" t="s">
        <v>130</v>
      </c>
      <c r="L62" s="1">
        <v>3082655</v>
      </c>
      <c r="M62" s="1" t="s">
        <v>204</v>
      </c>
      <c r="N62" s="5">
        <f>DATE(2024,2,5)</f>
        <v>45327</v>
      </c>
      <c r="O62" s="5">
        <f>DATE(2026,12,19)</f>
        <v>46375</v>
      </c>
      <c r="P62" s="5">
        <f t="shared" si="0"/>
        <v>47470</v>
      </c>
      <c r="Q62" s="1">
        <v>3043</v>
      </c>
      <c r="R62" s="1">
        <v>1200</v>
      </c>
      <c r="S62" s="1">
        <f t="shared" si="1"/>
        <v>3200</v>
      </c>
      <c r="T62" s="1">
        <v>2.5</v>
      </c>
      <c r="U62" s="1" t="str">
        <f t="shared" si="2"/>
        <v>SIM</v>
      </c>
      <c r="V62" s="1">
        <f t="shared" si="3"/>
        <v>1049</v>
      </c>
      <c r="W62" s="4">
        <f t="shared" si="4"/>
        <v>2.9008579599618685</v>
      </c>
      <c r="X62" s="4">
        <f t="shared" si="5"/>
        <v>1058.8131553860819</v>
      </c>
      <c r="Y62" s="4">
        <f t="shared" si="6"/>
        <v>1.3235164442326024</v>
      </c>
      <c r="AB62" s="5">
        <f t="shared" si="7"/>
        <v>45292</v>
      </c>
      <c r="AC62" s="5">
        <f t="shared" si="8"/>
        <v>45657</v>
      </c>
      <c r="AD62" s="1">
        <v>70</v>
      </c>
      <c r="AE62" s="1">
        <f t="shared" si="9"/>
        <v>0</v>
      </c>
      <c r="AF62" s="1">
        <f t="shared" si="10"/>
        <v>331</v>
      </c>
      <c r="AG62" s="1">
        <f t="shared" si="11"/>
        <v>0</v>
      </c>
      <c r="AH62" s="1">
        <f t="shared" si="12"/>
        <v>0</v>
      </c>
      <c r="AI62" s="1">
        <f t="shared" si="13"/>
        <v>0</v>
      </c>
      <c r="AJ62" s="3">
        <f t="shared" si="14"/>
        <v>0.90437158469945356</v>
      </c>
      <c r="AK62" s="3">
        <f t="shared" si="15"/>
        <v>1.1969506640464245</v>
      </c>
      <c r="AL62" s="3">
        <f t="shared" si="16"/>
        <v>83.786546483249708</v>
      </c>
      <c r="AM62" s="3">
        <f t="shared" si="17"/>
        <v>209.46636620812427</v>
      </c>
      <c r="AN62" s="3">
        <f t="shared" si="18"/>
        <v>0</v>
      </c>
      <c r="AO62" s="3">
        <f t="shared" si="19"/>
        <v>209.46636620812427</v>
      </c>
      <c r="AP62" s="1" t="str">
        <f>INDEX({"EAD";"EAD";"EAD";"EAD MOOC";"EAD";"EAD";"EAD FP";"EAD";"PRESENCIAL";"PRESENCIAL";"PRESENCIAL";"PRESENCIAL"}, MATCH(CONCATENATE(E62, ".", F62),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3" spans="1:42" x14ac:dyDescent="0.25">
      <c r="A63" s="1" t="s">
        <v>27</v>
      </c>
      <c r="B63" s="1" t="s">
        <v>31</v>
      </c>
      <c r="C63" s="1" t="s">
        <v>29</v>
      </c>
      <c r="D63" s="1" t="s">
        <v>32</v>
      </c>
      <c r="E63" s="1" t="s">
        <v>120</v>
      </c>
      <c r="F63" s="1" t="s">
        <v>21</v>
      </c>
      <c r="G63" s="1" t="s">
        <v>121</v>
      </c>
      <c r="H63" s="1" t="s">
        <v>190</v>
      </c>
      <c r="I63" s="1" t="s">
        <v>191</v>
      </c>
      <c r="J63" s="1" t="s">
        <v>125</v>
      </c>
      <c r="K63" s="1" t="s">
        <v>109</v>
      </c>
      <c r="L63" s="1">
        <v>3082656</v>
      </c>
      <c r="M63" s="1" t="s">
        <v>205</v>
      </c>
      <c r="N63" s="5">
        <f>DATE(2024,2,5)</f>
        <v>45327</v>
      </c>
      <c r="O63" s="5">
        <f>DATE(2027,12,19)</f>
        <v>46740</v>
      </c>
      <c r="P63" s="5">
        <f t="shared" si="0"/>
        <v>47835</v>
      </c>
      <c r="Q63" s="1">
        <v>3211</v>
      </c>
      <c r="R63" s="1">
        <v>3600</v>
      </c>
      <c r="S63" s="1">
        <f t="shared" si="1"/>
        <v>3600</v>
      </c>
      <c r="T63" s="1">
        <v>2.5</v>
      </c>
      <c r="U63" s="1" t="str">
        <f t="shared" si="2"/>
        <v>SIM</v>
      </c>
      <c r="V63" s="1">
        <f t="shared" si="3"/>
        <v>1414</v>
      </c>
      <c r="W63" s="4">
        <f t="shared" si="4"/>
        <v>2.2708628005657707</v>
      </c>
      <c r="X63" s="4">
        <f t="shared" si="5"/>
        <v>828.86492220650632</v>
      </c>
      <c r="Y63" s="4">
        <f t="shared" si="6"/>
        <v>1.0360811527581328</v>
      </c>
      <c r="AB63" s="5">
        <f t="shared" si="7"/>
        <v>45292</v>
      </c>
      <c r="AC63" s="5">
        <f t="shared" si="8"/>
        <v>45657</v>
      </c>
      <c r="AD63" s="1">
        <v>35</v>
      </c>
      <c r="AE63" s="1">
        <f t="shared" si="9"/>
        <v>0</v>
      </c>
      <c r="AF63" s="1">
        <f t="shared" si="10"/>
        <v>331</v>
      </c>
      <c r="AG63" s="1">
        <f t="shared" si="11"/>
        <v>0</v>
      </c>
      <c r="AH63" s="1">
        <f t="shared" si="12"/>
        <v>0</v>
      </c>
      <c r="AI63" s="1">
        <f t="shared" si="13"/>
        <v>0</v>
      </c>
      <c r="AJ63" s="3">
        <f t="shared" si="14"/>
        <v>0.90437158469945356</v>
      </c>
      <c r="AK63" s="3">
        <f t="shared" si="15"/>
        <v>0.93700235399710918</v>
      </c>
      <c r="AL63" s="3">
        <f t="shared" si="16"/>
        <v>32.795082389898823</v>
      </c>
      <c r="AM63" s="3">
        <f t="shared" si="17"/>
        <v>81.987705974747058</v>
      </c>
      <c r="AN63" s="3">
        <f t="shared" si="18"/>
        <v>0</v>
      </c>
      <c r="AO63" s="3">
        <f t="shared" si="19"/>
        <v>81.987705974747058</v>
      </c>
      <c r="AP63" s="1" t="str">
        <f>INDEX({"EAD";"EAD";"EAD";"EAD MOOC";"EAD";"EAD";"EAD FP";"EAD";"PRESENCIAL";"PRESENCIAL";"PRESENCIAL";"PRESENCIAL"}, MATCH(CONCATENATE(E63, ".", F63),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4" spans="1:42" x14ac:dyDescent="0.25">
      <c r="A64" s="1" t="s">
        <v>27</v>
      </c>
      <c r="B64" s="1" t="s">
        <v>33</v>
      </c>
      <c r="C64" s="1" t="s">
        <v>29</v>
      </c>
      <c r="D64" s="1" t="s">
        <v>34</v>
      </c>
      <c r="E64" s="1" t="s">
        <v>120</v>
      </c>
      <c r="F64" s="1" t="s">
        <v>21</v>
      </c>
      <c r="G64" s="1" t="s">
        <v>128</v>
      </c>
      <c r="H64" s="1" t="s">
        <v>206</v>
      </c>
      <c r="I64" s="1" t="s">
        <v>124</v>
      </c>
      <c r="J64" s="1" t="s">
        <v>125</v>
      </c>
      <c r="K64" s="1" t="s">
        <v>130</v>
      </c>
      <c r="L64" s="1">
        <v>1780500</v>
      </c>
      <c r="M64" s="1" t="s">
        <v>207</v>
      </c>
      <c r="N64" s="5">
        <f>DATE(2013,4,1)</f>
        <v>41365</v>
      </c>
      <c r="O64" s="5">
        <f>DATE(2015,12,23)</f>
        <v>42361</v>
      </c>
      <c r="P64" s="5">
        <f t="shared" si="0"/>
        <v>43456</v>
      </c>
      <c r="Q64" s="1">
        <v>3533</v>
      </c>
      <c r="R64" s="1">
        <v>800</v>
      </c>
      <c r="S64" s="1">
        <f t="shared" si="1"/>
        <v>3000</v>
      </c>
      <c r="T64" s="1">
        <v>1.5</v>
      </c>
      <c r="U64" s="1" t="str">
        <f t="shared" si="2"/>
        <v>NÃO</v>
      </c>
      <c r="V64" s="1">
        <f t="shared" si="3"/>
        <v>997</v>
      </c>
      <c r="W64" s="4">
        <f t="shared" si="4"/>
        <v>3.009027081243731</v>
      </c>
      <c r="X64" s="4">
        <f t="shared" si="5"/>
        <v>1098.2948846539618</v>
      </c>
      <c r="Y64" s="4">
        <f t="shared" si="6"/>
        <v>1.3728686058174524</v>
      </c>
      <c r="AB64" s="5">
        <f t="shared" si="7"/>
        <v>45292</v>
      </c>
      <c r="AC64" s="5">
        <f t="shared" si="8"/>
        <v>45657</v>
      </c>
      <c r="AD64" s="1">
        <v>1</v>
      </c>
      <c r="AE64" s="1">
        <f t="shared" si="9"/>
        <v>0</v>
      </c>
      <c r="AF64" s="1">
        <f t="shared" si="10"/>
        <v>0</v>
      </c>
      <c r="AG64" s="1">
        <f t="shared" si="11"/>
        <v>0</v>
      </c>
      <c r="AH64" s="1">
        <f t="shared" si="12"/>
        <v>0</v>
      </c>
      <c r="AI64" s="1">
        <f t="shared" si="13"/>
        <v>183</v>
      </c>
      <c r="AJ64" s="3">
        <f t="shared" si="14"/>
        <v>0.5</v>
      </c>
      <c r="AK64" s="3">
        <f t="shared" si="15"/>
        <v>0.6864343029087262</v>
      </c>
      <c r="AL64" s="3">
        <f t="shared" si="16"/>
        <v>0</v>
      </c>
      <c r="AM64" s="3">
        <f t="shared" si="17"/>
        <v>0</v>
      </c>
      <c r="AN64" s="3">
        <f t="shared" si="18"/>
        <v>0</v>
      </c>
      <c r="AO64" s="3">
        <f t="shared" si="19"/>
        <v>0</v>
      </c>
      <c r="AP64" s="1" t="str">
        <f>INDEX({"EAD";"EAD";"EAD";"EAD MOOC";"EAD";"EAD";"EAD FP";"EAD";"PRESENCIAL";"PRESENCIAL";"PRESENCIAL";"PRESENCIAL"}, MATCH(CONCATENATE(E64, ".", F64),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5" spans="1:42" x14ac:dyDescent="0.25">
      <c r="A65" s="1" t="s">
        <v>27</v>
      </c>
      <c r="B65" s="1" t="s">
        <v>33</v>
      </c>
      <c r="C65" s="1" t="s">
        <v>29</v>
      </c>
      <c r="D65" s="1" t="s">
        <v>34</v>
      </c>
      <c r="E65" s="1" t="s">
        <v>120</v>
      </c>
      <c r="F65" s="1" t="s">
        <v>21</v>
      </c>
      <c r="G65" s="1" t="s">
        <v>128</v>
      </c>
      <c r="H65" s="1" t="s">
        <v>208</v>
      </c>
      <c r="I65" s="1" t="s">
        <v>209</v>
      </c>
      <c r="J65" s="1" t="s">
        <v>125</v>
      </c>
      <c r="K65" s="1" t="s">
        <v>130</v>
      </c>
      <c r="L65" s="1">
        <v>2145972</v>
      </c>
      <c r="M65" s="1" t="s">
        <v>210</v>
      </c>
      <c r="N65" s="5">
        <f>DATE(2017,3,8)</f>
        <v>42802</v>
      </c>
      <c r="O65" s="5">
        <f>DATE(2019,12,30)</f>
        <v>43829</v>
      </c>
      <c r="P65" s="5">
        <f t="shared" si="0"/>
        <v>44924</v>
      </c>
      <c r="Q65" s="1">
        <v>3602</v>
      </c>
      <c r="R65" s="1">
        <v>1200</v>
      </c>
      <c r="S65" s="1">
        <f t="shared" si="1"/>
        <v>3200</v>
      </c>
      <c r="T65" s="1">
        <v>1.5</v>
      </c>
      <c r="U65" s="1" t="str">
        <f t="shared" si="2"/>
        <v>NÃO</v>
      </c>
      <c r="V65" s="1">
        <f t="shared" si="3"/>
        <v>1028</v>
      </c>
      <c r="W65" s="4">
        <f t="shared" si="4"/>
        <v>3.1128404669260701</v>
      </c>
      <c r="X65" s="4">
        <f t="shared" si="5"/>
        <v>1136.1867704280155</v>
      </c>
      <c r="Y65" s="4">
        <f t="shared" si="6"/>
        <v>1.4202334630350193</v>
      </c>
      <c r="AB65" s="5">
        <f t="shared" si="7"/>
        <v>45292</v>
      </c>
      <c r="AC65" s="5">
        <f t="shared" si="8"/>
        <v>45657</v>
      </c>
      <c r="AE65" s="1">
        <f t="shared" si="9"/>
        <v>0</v>
      </c>
      <c r="AF65" s="1">
        <f t="shared" si="10"/>
        <v>0</v>
      </c>
      <c r="AG65" s="1">
        <f t="shared" si="11"/>
        <v>0</v>
      </c>
      <c r="AH65" s="1">
        <f t="shared" si="12"/>
        <v>0</v>
      </c>
      <c r="AI65" s="1">
        <f t="shared" si="13"/>
        <v>183</v>
      </c>
      <c r="AJ65" s="3">
        <f t="shared" si="14"/>
        <v>0.5</v>
      </c>
      <c r="AK65" s="3">
        <f t="shared" si="15"/>
        <v>0.71011673151750965</v>
      </c>
      <c r="AL65" s="3">
        <f t="shared" si="16"/>
        <v>0</v>
      </c>
      <c r="AM65" s="3">
        <f t="shared" si="17"/>
        <v>0</v>
      </c>
      <c r="AN65" s="3">
        <f t="shared" si="18"/>
        <v>0</v>
      </c>
      <c r="AO65" s="3">
        <f t="shared" si="19"/>
        <v>0</v>
      </c>
      <c r="AP65" s="1" t="str">
        <f>INDEX({"EAD";"EAD";"EAD";"EAD MOOC";"EAD";"EAD";"EAD FP";"EAD";"PRESENCIAL";"PRESENCIAL";"PRESENCIAL";"PRESENCIAL"}, MATCH(CONCATENATE(E65, ".", F65),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6" spans="1:42" x14ac:dyDescent="0.25">
      <c r="A66" s="1" t="s">
        <v>27</v>
      </c>
      <c r="B66" s="1" t="s">
        <v>33</v>
      </c>
      <c r="C66" s="1" t="s">
        <v>29</v>
      </c>
      <c r="D66" s="1" t="s">
        <v>34</v>
      </c>
      <c r="E66" s="1" t="s">
        <v>120</v>
      </c>
      <c r="F66" s="1" t="s">
        <v>21</v>
      </c>
      <c r="G66" s="1" t="s">
        <v>140</v>
      </c>
      <c r="H66" s="1" t="s">
        <v>211</v>
      </c>
      <c r="I66" s="1" t="s">
        <v>124</v>
      </c>
      <c r="J66" s="1" t="s">
        <v>125</v>
      </c>
      <c r="K66" s="1" t="s">
        <v>109</v>
      </c>
      <c r="L66" s="1">
        <v>2486714</v>
      </c>
      <c r="M66" s="1" t="s">
        <v>212</v>
      </c>
      <c r="N66" s="5">
        <f>DATE(2018,2,19)</f>
        <v>43150</v>
      </c>
      <c r="O66" s="5">
        <f>DATE(2020,12,23)</f>
        <v>44188</v>
      </c>
      <c r="P66" s="5">
        <f t="shared" si="0"/>
        <v>45283</v>
      </c>
      <c r="Q66" s="1">
        <v>1980</v>
      </c>
      <c r="R66" s="1">
        <v>1600</v>
      </c>
      <c r="S66" s="1">
        <f t="shared" si="1"/>
        <v>1600</v>
      </c>
      <c r="T66" s="1">
        <v>1</v>
      </c>
      <c r="U66" s="1" t="str">
        <f t="shared" si="2"/>
        <v>NÃO</v>
      </c>
      <c r="V66" s="1">
        <f t="shared" si="3"/>
        <v>1039</v>
      </c>
      <c r="W66" s="4">
        <f t="shared" si="4"/>
        <v>1.5399422521655437</v>
      </c>
      <c r="X66" s="4">
        <f t="shared" si="5"/>
        <v>562.07892204042344</v>
      </c>
      <c r="Y66" s="4">
        <f t="shared" si="6"/>
        <v>0.70259865255052933</v>
      </c>
      <c r="AB66" s="5">
        <f t="shared" si="7"/>
        <v>45292</v>
      </c>
      <c r="AC66" s="5">
        <f t="shared" si="8"/>
        <v>45657</v>
      </c>
      <c r="AD66" s="1">
        <v>2</v>
      </c>
      <c r="AE66" s="1">
        <f t="shared" si="9"/>
        <v>0</v>
      </c>
      <c r="AF66" s="1">
        <f t="shared" si="10"/>
        <v>0</v>
      </c>
      <c r="AG66" s="1">
        <f t="shared" si="11"/>
        <v>0</v>
      </c>
      <c r="AH66" s="1">
        <f t="shared" si="12"/>
        <v>0</v>
      </c>
      <c r="AI66" s="1">
        <f t="shared" si="13"/>
        <v>183</v>
      </c>
      <c r="AJ66" s="3">
        <f t="shared" si="14"/>
        <v>0.5</v>
      </c>
      <c r="AK66" s="3">
        <f t="shared" si="15"/>
        <v>0.35129932627526467</v>
      </c>
      <c r="AL66" s="3">
        <f t="shared" si="16"/>
        <v>0</v>
      </c>
      <c r="AM66" s="3">
        <f t="shared" si="17"/>
        <v>0</v>
      </c>
      <c r="AN66" s="3">
        <f t="shared" si="18"/>
        <v>0</v>
      </c>
      <c r="AO66" s="3">
        <f t="shared" si="19"/>
        <v>0</v>
      </c>
      <c r="AP66" s="1" t="str">
        <f>INDEX({"EAD";"EAD";"EAD";"EAD MOOC";"EAD";"EAD";"EAD FP";"EAD";"PRESENCIAL";"PRESENCIAL";"PRESENCIAL";"PRESENCIAL"}, MATCH(CONCATENATE(E66, ".", F66),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7" spans="1:42" x14ac:dyDescent="0.25">
      <c r="A67" s="1" t="s">
        <v>27</v>
      </c>
      <c r="B67" s="1" t="s">
        <v>33</v>
      </c>
      <c r="C67" s="1" t="s">
        <v>29</v>
      </c>
      <c r="D67" s="1" t="s">
        <v>34</v>
      </c>
      <c r="E67" s="1" t="s">
        <v>120</v>
      </c>
      <c r="F67" s="1" t="s">
        <v>21</v>
      </c>
      <c r="G67" s="1" t="s">
        <v>128</v>
      </c>
      <c r="H67" s="1" t="s">
        <v>208</v>
      </c>
      <c r="I67" s="1" t="s">
        <v>209</v>
      </c>
      <c r="J67" s="1" t="s">
        <v>125</v>
      </c>
      <c r="K67" s="1" t="s">
        <v>130</v>
      </c>
      <c r="L67" s="1">
        <v>2486724</v>
      </c>
      <c r="M67" s="1" t="s">
        <v>213</v>
      </c>
      <c r="N67" s="5">
        <f>DATE(2018,2,19)</f>
        <v>43150</v>
      </c>
      <c r="O67" s="5">
        <f>DATE(2020,12,23)</f>
        <v>44188</v>
      </c>
      <c r="P67" s="5">
        <f t="shared" si="0"/>
        <v>45283</v>
      </c>
      <c r="Q67" s="1">
        <v>3602</v>
      </c>
      <c r="R67" s="1">
        <v>1200</v>
      </c>
      <c r="S67" s="1">
        <f t="shared" si="1"/>
        <v>3200</v>
      </c>
      <c r="T67" s="1">
        <v>1.5</v>
      </c>
      <c r="U67" s="1" t="str">
        <f t="shared" si="2"/>
        <v>NÃO</v>
      </c>
      <c r="V67" s="1">
        <f t="shared" si="3"/>
        <v>1039</v>
      </c>
      <c r="W67" s="4">
        <f t="shared" si="4"/>
        <v>3.0798845043310874</v>
      </c>
      <c r="X67" s="4">
        <f t="shared" si="5"/>
        <v>1124.1578440808469</v>
      </c>
      <c r="Y67" s="4">
        <f t="shared" si="6"/>
        <v>1.4051973051010587</v>
      </c>
      <c r="AB67" s="5">
        <f t="shared" si="7"/>
        <v>45292</v>
      </c>
      <c r="AC67" s="5">
        <f t="shared" si="8"/>
        <v>45657</v>
      </c>
      <c r="AE67" s="1">
        <f t="shared" si="9"/>
        <v>0</v>
      </c>
      <c r="AF67" s="1">
        <f t="shared" si="10"/>
        <v>0</v>
      </c>
      <c r="AG67" s="1">
        <f t="shared" si="11"/>
        <v>0</v>
      </c>
      <c r="AH67" s="1">
        <f t="shared" si="12"/>
        <v>0</v>
      </c>
      <c r="AI67" s="1">
        <f t="shared" si="13"/>
        <v>183</v>
      </c>
      <c r="AJ67" s="3">
        <f t="shared" si="14"/>
        <v>0.5</v>
      </c>
      <c r="AK67" s="3">
        <f t="shared" si="15"/>
        <v>0.70259865255052933</v>
      </c>
      <c r="AL67" s="3">
        <f t="shared" si="16"/>
        <v>0</v>
      </c>
      <c r="AM67" s="3">
        <f t="shared" si="17"/>
        <v>0</v>
      </c>
      <c r="AN67" s="3">
        <f t="shared" si="18"/>
        <v>0</v>
      </c>
      <c r="AO67" s="3">
        <f t="shared" si="19"/>
        <v>0</v>
      </c>
      <c r="AP67" s="1" t="str">
        <f>INDEX({"EAD";"EAD";"EAD";"EAD MOOC";"EAD";"EAD";"EAD FP";"EAD";"PRESENCIAL";"PRESENCIAL";"PRESENCIAL";"PRESENCIAL"}, MATCH(CONCATENATE(E67, ".", F67),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8" spans="1:42" x14ac:dyDescent="0.25">
      <c r="A68" s="1" t="s">
        <v>27</v>
      </c>
      <c r="B68" s="1" t="s">
        <v>33</v>
      </c>
      <c r="C68" s="1" t="s">
        <v>29</v>
      </c>
      <c r="D68" s="1" t="s">
        <v>34</v>
      </c>
      <c r="E68" s="1" t="s">
        <v>120</v>
      </c>
      <c r="F68" s="1" t="s">
        <v>21</v>
      </c>
      <c r="G68" s="1" t="s">
        <v>128</v>
      </c>
      <c r="H68" s="1" t="s">
        <v>129</v>
      </c>
      <c r="I68" s="1" t="s">
        <v>124</v>
      </c>
      <c r="J68" s="1" t="s">
        <v>125</v>
      </c>
      <c r="K68" s="1" t="s">
        <v>130</v>
      </c>
      <c r="L68" s="1">
        <v>2568601</v>
      </c>
      <c r="M68" s="1" t="s">
        <v>214</v>
      </c>
      <c r="N68" s="5">
        <f>DATE(2018,2,19)</f>
        <v>43150</v>
      </c>
      <c r="O68" s="5">
        <f>DATE(2020,12,30)</f>
        <v>44195</v>
      </c>
      <c r="P68" s="5">
        <f t="shared" ref="P68:P131" si="20">IF(G68="QUALIFICACAO PROFISSIONAL (FIC)",O68,O68+1095)</f>
        <v>45290</v>
      </c>
      <c r="Q68" s="1">
        <v>3534</v>
      </c>
      <c r="R68" s="1">
        <v>800</v>
      </c>
      <c r="S68" s="1">
        <f t="shared" ref="S68:S131" si="21">IF(OR(G68="QUALIFICACAO PROFISSIONAL (FIC)",G68="DOUTORADO"),Q68,    IF(ISNUMBER(FIND("PROEJA",K68)),2400,        IF(K68="INTEGRADO",            IF(R68=800,3000,                IF(R68=1000,3100,                    IF(R68=1200,3200,R68)                )            ),            R68        )    ))</f>
        <v>3000</v>
      </c>
      <c r="T68" s="1">
        <v>1.5</v>
      </c>
      <c r="U68" s="1" t="str">
        <f t="shared" ref="U68:U131" si="22">IF(P68&lt;AB68,"NÃO","SIM")</f>
        <v>NÃO</v>
      </c>
      <c r="V68" s="1">
        <f t="shared" ref="V68:V131" si="23">O68-N68+1</f>
        <v>1046</v>
      </c>
      <c r="W68" s="4">
        <f t="shared" ref="W68:W131" si="24">IF(S68&gt;Q68,Q68,S68)/V68</f>
        <v>2.8680688336520075</v>
      </c>
      <c r="X68" s="4">
        <f t="shared" ref="X68:X131" si="25">IF(V68&gt;365,W68*365,S68)</f>
        <v>1046.8451242829826</v>
      </c>
      <c r="Y68" s="4">
        <f t="shared" ref="Y68:Y131" si="26">IF(V68&gt;365,X68/800,S68/800)</f>
        <v>1.3085564053537282</v>
      </c>
      <c r="AB68" s="5">
        <f t="shared" ref="AB68:AB131" si="27">DATE(2024,1,1)</f>
        <v>45292</v>
      </c>
      <c r="AC68" s="5">
        <f t="shared" ref="AC68:AC131" si="28">DATE(2024,12,31)</f>
        <v>45657</v>
      </c>
      <c r="AD68" s="1">
        <v>2</v>
      </c>
      <c r="AE68" s="1">
        <f t="shared" ref="AE68:AE131" si="29">IF(AND(N68&lt;AB68,O68&gt;AC68),AC68-AB68+1,0)</f>
        <v>0</v>
      </c>
      <c r="AF68" s="1">
        <f t="shared" ref="AF68:AF131" si="30">IF(AND(N68&gt;=AB68,O68&gt;AC68,N68&lt;AC68),AC68-N68+1,0)</f>
        <v>0</v>
      </c>
      <c r="AG68" s="1">
        <f t="shared" ref="AG68:AG131" si="31">IF(AND(N68&lt;AB68,O68&lt;=AC68,O68&gt;=AB68),O68-AB68+1,0)</f>
        <v>0</v>
      </c>
      <c r="AH68" s="1">
        <f t="shared" ref="AH68:AH131" si="32">IF(AND(N68&gt;=AB68,O68&lt;=AC68),O68-N68+1,0)</f>
        <v>0</v>
      </c>
      <c r="AI68" s="1">
        <f t="shared" ref="AI68:AI131" si="33">IF(AND(N68&lt;AB68,O68&lt;AB68),(AC68-AB68+1)/2,0)</f>
        <v>183</v>
      </c>
      <c r="AJ68" s="3">
        <f t="shared" ref="AJ68:AJ131" si="34">SUM(AE68:AI68)/IF(V68&gt;=365,AC68-AB68+1,V68)</f>
        <v>0.5</v>
      </c>
      <c r="AK68" s="3">
        <f t="shared" ref="AK68:AK131" si="35">Y68*AJ68</f>
        <v>0.6542782026768641</v>
      </c>
      <c r="AL68" s="3">
        <f t="shared" ref="AL68:AL131" si="36">IF(AI68=0,AK68*AD68,IF(U68="SIM",AK68*(AD68/2),0))</f>
        <v>0</v>
      </c>
      <c r="AM68" s="3">
        <f t="shared" ref="AM68:AM131" si="37">AL68*T68</f>
        <v>0</v>
      </c>
      <c r="AN68" s="3">
        <f t="shared" ref="AN68:AN131" si="38">IF(J68="SIM",AM68*50%,0)</f>
        <v>0</v>
      </c>
      <c r="AO68" s="3">
        <f t="shared" ref="AO68:AO131" si="39">IF(U68="SIM",AM68+AN68,0)</f>
        <v>0</v>
      </c>
      <c r="AP68" s="1" t="str">
        <f>INDEX({"EAD";"EAD";"EAD";"EAD MOOC";"EAD";"EAD";"EAD FP";"EAD";"PRESENCIAL";"PRESENCIAL";"PRESENCIAL";"PRESENCIAL"}, MATCH(CONCATENATE(E68, ".", F68),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9" spans="1:42" x14ac:dyDescent="0.25">
      <c r="A69" s="1" t="s">
        <v>27</v>
      </c>
      <c r="B69" s="1" t="s">
        <v>33</v>
      </c>
      <c r="C69" s="1" t="s">
        <v>29</v>
      </c>
      <c r="D69" s="1" t="s">
        <v>34</v>
      </c>
      <c r="E69" s="1" t="s">
        <v>170</v>
      </c>
      <c r="F69" s="1" t="s">
        <v>21</v>
      </c>
      <c r="G69" s="1" t="s">
        <v>178</v>
      </c>
      <c r="H69" s="1" t="s">
        <v>215</v>
      </c>
      <c r="I69" s="1" t="s">
        <v>107</v>
      </c>
      <c r="J69" s="1" t="s">
        <v>108</v>
      </c>
      <c r="K69" s="1" t="s">
        <v>109</v>
      </c>
      <c r="L69" s="1">
        <v>2481424</v>
      </c>
      <c r="M69" s="1" t="s">
        <v>216</v>
      </c>
      <c r="N69" s="5">
        <f>DATE(2018,2,23)</f>
        <v>43154</v>
      </c>
      <c r="O69" s="5">
        <f>DATE(2019,8,30)</f>
        <v>43707</v>
      </c>
      <c r="P69" s="5">
        <f t="shared" si="20"/>
        <v>44802</v>
      </c>
      <c r="Q69" s="1">
        <v>440</v>
      </c>
      <c r="R69" s="1">
        <v>360</v>
      </c>
      <c r="S69" s="1">
        <f t="shared" si="21"/>
        <v>360</v>
      </c>
      <c r="T69" s="1">
        <v>2.5</v>
      </c>
      <c r="U69" s="1" t="str">
        <f t="shared" si="22"/>
        <v>NÃO</v>
      </c>
      <c r="V69" s="1">
        <f t="shared" si="23"/>
        <v>554</v>
      </c>
      <c r="W69" s="4">
        <f t="shared" si="24"/>
        <v>0.64981949458483756</v>
      </c>
      <c r="X69" s="4">
        <f t="shared" si="25"/>
        <v>237.18411552346572</v>
      </c>
      <c r="Y69" s="4">
        <f t="shared" si="26"/>
        <v>0.29648014440433212</v>
      </c>
      <c r="AB69" s="5">
        <f t="shared" si="27"/>
        <v>45292</v>
      </c>
      <c r="AC69" s="5">
        <f t="shared" si="28"/>
        <v>45657</v>
      </c>
      <c r="AD69" s="1">
        <v>3</v>
      </c>
      <c r="AE69" s="1">
        <f t="shared" si="29"/>
        <v>0</v>
      </c>
      <c r="AF69" s="1">
        <f t="shared" si="30"/>
        <v>0</v>
      </c>
      <c r="AG69" s="1">
        <f t="shared" si="31"/>
        <v>0</v>
      </c>
      <c r="AH69" s="1">
        <f t="shared" si="32"/>
        <v>0</v>
      </c>
      <c r="AI69" s="1">
        <f t="shared" si="33"/>
        <v>183</v>
      </c>
      <c r="AJ69" s="3">
        <f t="shared" si="34"/>
        <v>0.5</v>
      </c>
      <c r="AK69" s="3">
        <f t="shared" si="35"/>
        <v>0.14824007220216606</v>
      </c>
      <c r="AL69" s="3">
        <f t="shared" si="36"/>
        <v>0</v>
      </c>
      <c r="AM69" s="3">
        <f t="shared" si="37"/>
        <v>0</v>
      </c>
      <c r="AN69" s="3">
        <f t="shared" si="38"/>
        <v>0</v>
      </c>
      <c r="AO69" s="3">
        <f t="shared" si="39"/>
        <v>0</v>
      </c>
      <c r="AP69" s="1" t="str">
        <f>INDEX({"EAD";"EAD";"EAD";"EAD MOOC";"EAD";"EAD";"EAD FP";"EAD";"PRESENCIAL";"PRESENCIAL";"PRESENCIAL";"PRESENCIAL"}, MATCH(CONCATENATE(E69, ".", F69),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70" spans="1:42" x14ac:dyDescent="0.25">
      <c r="A70" s="1" t="s">
        <v>27</v>
      </c>
      <c r="B70" s="1" t="s">
        <v>33</v>
      </c>
      <c r="C70" s="1" t="s">
        <v>29</v>
      </c>
      <c r="D70" s="1" t="s">
        <v>34</v>
      </c>
      <c r="E70" s="1" t="s">
        <v>120</v>
      </c>
      <c r="F70" s="1" t="s">
        <v>21</v>
      </c>
      <c r="G70" s="1" t="s">
        <v>128</v>
      </c>
      <c r="H70" s="1" t="s">
        <v>129</v>
      </c>
      <c r="I70" s="1" t="s">
        <v>124</v>
      </c>
      <c r="J70" s="1" t="s">
        <v>125</v>
      </c>
      <c r="K70" s="1" t="s">
        <v>130</v>
      </c>
      <c r="L70" s="1">
        <v>2588089</v>
      </c>
      <c r="M70" s="1" t="s">
        <v>217</v>
      </c>
      <c r="N70" s="5">
        <f>DATE(2019,2,4)</f>
        <v>43500</v>
      </c>
      <c r="O70" s="5">
        <f>DATE(2021,12,31)</f>
        <v>44561</v>
      </c>
      <c r="P70" s="5">
        <f t="shared" si="20"/>
        <v>45656</v>
      </c>
      <c r="Q70" s="1">
        <v>3534</v>
      </c>
      <c r="R70" s="1">
        <v>800</v>
      </c>
      <c r="S70" s="1">
        <f t="shared" si="21"/>
        <v>3000</v>
      </c>
      <c r="T70" s="1">
        <v>1.5</v>
      </c>
      <c r="U70" s="1" t="str">
        <f t="shared" si="22"/>
        <v>SIM</v>
      </c>
      <c r="V70" s="1">
        <f t="shared" si="23"/>
        <v>1062</v>
      </c>
      <c r="W70" s="4">
        <f t="shared" si="24"/>
        <v>2.8248587570621471</v>
      </c>
      <c r="X70" s="4">
        <f t="shared" si="25"/>
        <v>1031.0734463276838</v>
      </c>
      <c r="Y70" s="4">
        <f t="shared" si="26"/>
        <v>1.2888418079096047</v>
      </c>
      <c r="AB70" s="5">
        <f t="shared" si="27"/>
        <v>45292</v>
      </c>
      <c r="AC70" s="5">
        <f t="shared" si="28"/>
        <v>45657</v>
      </c>
      <c r="AD70" s="1">
        <v>1</v>
      </c>
      <c r="AE70" s="1">
        <f t="shared" si="29"/>
        <v>0</v>
      </c>
      <c r="AF70" s="1">
        <f t="shared" si="30"/>
        <v>0</v>
      </c>
      <c r="AG70" s="1">
        <f t="shared" si="31"/>
        <v>0</v>
      </c>
      <c r="AH70" s="1">
        <f t="shared" si="32"/>
        <v>0</v>
      </c>
      <c r="AI70" s="1">
        <f t="shared" si="33"/>
        <v>183</v>
      </c>
      <c r="AJ70" s="3">
        <f t="shared" si="34"/>
        <v>0.5</v>
      </c>
      <c r="AK70" s="3">
        <f t="shared" si="35"/>
        <v>0.64442090395480234</v>
      </c>
      <c r="AL70" s="3">
        <f t="shared" si="36"/>
        <v>0.32221045197740117</v>
      </c>
      <c r="AM70" s="3">
        <f t="shared" si="37"/>
        <v>0.48331567796610175</v>
      </c>
      <c r="AN70" s="3">
        <f t="shared" si="38"/>
        <v>0</v>
      </c>
      <c r="AO70" s="3">
        <f t="shared" si="39"/>
        <v>0.48331567796610175</v>
      </c>
      <c r="AP70" s="1" t="str">
        <f>INDEX({"EAD";"EAD";"EAD";"EAD MOOC";"EAD";"EAD";"EAD FP";"EAD";"PRESENCIAL";"PRESENCIAL";"PRESENCIAL";"PRESENCIAL"}, MATCH(CONCATENATE(E70, ".", F70),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1" spans="1:42" x14ac:dyDescent="0.25">
      <c r="A71" s="1" t="s">
        <v>27</v>
      </c>
      <c r="B71" s="1" t="s">
        <v>33</v>
      </c>
      <c r="C71" s="1" t="s">
        <v>29</v>
      </c>
      <c r="D71" s="1" t="s">
        <v>34</v>
      </c>
      <c r="E71" s="1" t="s">
        <v>120</v>
      </c>
      <c r="F71" s="1" t="s">
        <v>21</v>
      </c>
      <c r="G71" s="1" t="s">
        <v>128</v>
      </c>
      <c r="H71" s="1" t="s">
        <v>218</v>
      </c>
      <c r="I71" s="1" t="s">
        <v>124</v>
      </c>
      <c r="J71" s="1" t="s">
        <v>125</v>
      </c>
      <c r="K71" s="1" t="s">
        <v>163</v>
      </c>
      <c r="L71" s="1">
        <v>2588096</v>
      </c>
      <c r="M71" s="1" t="s">
        <v>219</v>
      </c>
      <c r="N71" s="5">
        <f>DATE(2019,2,4)</f>
        <v>43500</v>
      </c>
      <c r="O71" s="5">
        <f>DATE(2020,7,31)</f>
        <v>44043</v>
      </c>
      <c r="P71" s="5">
        <f t="shared" si="20"/>
        <v>45138</v>
      </c>
      <c r="Q71" s="1">
        <v>1120</v>
      </c>
      <c r="R71" s="1">
        <v>800</v>
      </c>
      <c r="S71" s="1">
        <f t="shared" si="21"/>
        <v>800</v>
      </c>
      <c r="T71" s="1">
        <v>1</v>
      </c>
      <c r="U71" s="1" t="str">
        <f t="shared" si="22"/>
        <v>NÃO</v>
      </c>
      <c r="V71" s="1">
        <f t="shared" si="23"/>
        <v>544</v>
      </c>
      <c r="W71" s="4">
        <f t="shared" si="24"/>
        <v>1.4705882352941178</v>
      </c>
      <c r="X71" s="4">
        <f t="shared" si="25"/>
        <v>536.76470588235293</v>
      </c>
      <c r="Y71" s="4">
        <f t="shared" si="26"/>
        <v>0.67095588235294112</v>
      </c>
      <c r="AB71" s="5">
        <f t="shared" si="27"/>
        <v>45292</v>
      </c>
      <c r="AC71" s="5">
        <f t="shared" si="28"/>
        <v>45657</v>
      </c>
      <c r="AE71" s="1">
        <f t="shared" si="29"/>
        <v>0</v>
      </c>
      <c r="AF71" s="1">
        <f t="shared" si="30"/>
        <v>0</v>
      </c>
      <c r="AG71" s="1">
        <f t="shared" si="31"/>
        <v>0</v>
      </c>
      <c r="AH71" s="1">
        <f t="shared" si="32"/>
        <v>0</v>
      </c>
      <c r="AI71" s="1">
        <f t="shared" si="33"/>
        <v>183</v>
      </c>
      <c r="AJ71" s="3">
        <f t="shared" si="34"/>
        <v>0.5</v>
      </c>
      <c r="AK71" s="3">
        <f t="shared" si="35"/>
        <v>0.33547794117647056</v>
      </c>
      <c r="AL71" s="3">
        <f t="shared" si="36"/>
        <v>0</v>
      </c>
      <c r="AM71" s="3">
        <f t="shared" si="37"/>
        <v>0</v>
      </c>
      <c r="AN71" s="3">
        <f t="shared" si="38"/>
        <v>0</v>
      </c>
      <c r="AO71" s="3">
        <f t="shared" si="39"/>
        <v>0</v>
      </c>
      <c r="AP71" s="1" t="str">
        <f>INDEX({"EAD";"EAD";"EAD";"EAD MOOC";"EAD";"EAD";"EAD FP";"EAD";"PRESENCIAL";"PRESENCIAL";"PRESENCIAL";"PRESENCIAL"}, MATCH(CONCATENATE(E71, ".", F71),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2" spans="1:42" x14ac:dyDescent="0.25">
      <c r="A72" s="1" t="s">
        <v>27</v>
      </c>
      <c r="B72" s="1" t="s">
        <v>33</v>
      </c>
      <c r="C72" s="1" t="s">
        <v>29</v>
      </c>
      <c r="D72" s="1" t="s">
        <v>34</v>
      </c>
      <c r="E72" s="1" t="s">
        <v>120</v>
      </c>
      <c r="F72" s="1" t="s">
        <v>21</v>
      </c>
      <c r="G72" s="1" t="s">
        <v>140</v>
      </c>
      <c r="H72" s="1" t="s">
        <v>211</v>
      </c>
      <c r="I72" s="1" t="s">
        <v>124</v>
      </c>
      <c r="J72" s="1" t="s">
        <v>125</v>
      </c>
      <c r="K72" s="1" t="s">
        <v>109</v>
      </c>
      <c r="L72" s="1">
        <v>2588099</v>
      </c>
      <c r="M72" s="1" t="s">
        <v>220</v>
      </c>
      <c r="N72" s="5">
        <f>DATE(2019,2,4)</f>
        <v>43500</v>
      </c>
      <c r="O72" s="5">
        <f>DATE(2021,12,31)</f>
        <v>44561</v>
      </c>
      <c r="P72" s="5">
        <f t="shared" si="20"/>
        <v>45656</v>
      </c>
      <c r="Q72" s="1">
        <v>1980</v>
      </c>
      <c r="R72" s="1">
        <v>1600</v>
      </c>
      <c r="S72" s="1">
        <f t="shared" si="21"/>
        <v>1600</v>
      </c>
      <c r="T72" s="1">
        <v>1</v>
      </c>
      <c r="U72" s="1" t="str">
        <f t="shared" si="22"/>
        <v>SIM</v>
      </c>
      <c r="V72" s="1">
        <f t="shared" si="23"/>
        <v>1062</v>
      </c>
      <c r="W72" s="4">
        <f t="shared" si="24"/>
        <v>1.5065913370998116</v>
      </c>
      <c r="X72" s="4">
        <f t="shared" si="25"/>
        <v>549.90583804143125</v>
      </c>
      <c r="Y72" s="4">
        <f t="shared" si="26"/>
        <v>0.68738229755178903</v>
      </c>
      <c r="AB72" s="5">
        <f t="shared" si="27"/>
        <v>45292</v>
      </c>
      <c r="AC72" s="5">
        <f t="shared" si="28"/>
        <v>45657</v>
      </c>
      <c r="AD72" s="1">
        <v>8</v>
      </c>
      <c r="AE72" s="1">
        <f t="shared" si="29"/>
        <v>0</v>
      </c>
      <c r="AF72" s="1">
        <f t="shared" si="30"/>
        <v>0</v>
      </c>
      <c r="AG72" s="1">
        <f t="shared" si="31"/>
        <v>0</v>
      </c>
      <c r="AH72" s="1">
        <f t="shared" si="32"/>
        <v>0</v>
      </c>
      <c r="AI72" s="1">
        <f t="shared" si="33"/>
        <v>183</v>
      </c>
      <c r="AJ72" s="3">
        <f t="shared" si="34"/>
        <v>0.5</v>
      </c>
      <c r="AK72" s="3">
        <f t="shared" si="35"/>
        <v>0.34369114877589452</v>
      </c>
      <c r="AL72" s="3">
        <f t="shared" si="36"/>
        <v>1.3747645951035781</v>
      </c>
      <c r="AM72" s="3">
        <f t="shared" si="37"/>
        <v>1.3747645951035781</v>
      </c>
      <c r="AN72" s="3">
        <f t="shared" si="38"/>
        <v>0</v>
      </c>
      <c r="AO72" s="3">
        <f t="shared" si="39"/>
        <v>1.3747645951035781</v>
      </c>
      <c r="AP72" s="1" t="str">
        <f>INDEX({"EAD";"EAD";"EAD";"EAD MOOC";"EAD";"EAD";"EAD FP";"EAD";"PRESENCIAL";"PRESENCIAL";"PRESENCIAL";"PRESENCIAL"}, MATCH(CONCATENATE(E72, ".", F72),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3" spans="1:42" x14ac:dyDescent="0.25">
      <c r="A73" s="1" t="s">
        <v>27</v>
      </c>
      <c r="B73" s="1" t="s">
        <v>33</v>
      </c>
      <c r="C73" s="1" t="s">
        <v>29</v>
      </c>
      <c r="D73" s="1" t="s">
        <v>34</v>
      </c>
      <c r="E73" s="1" t="s">
        <v>170</v>
      </c>
      <c r="F73" s="1" t="s">
        <v>21</v>
      </c>
      <c r="G73" s="1" t="s">
        <v>178</v>
      </c>
      <c r="H73" s="1" t="s">
        <v>215</v>
      </c>
      <c r="I73" s="1" t="s">
        <v>107</v>
      </c>
      <c r="J73" s="1" t="s">
        <v>108</v>
      </c>
      <c r="K73" s="1" t="s">
        <v>109</v>
      </c>
      <c r="L73" s="1">
        <v>2614316</v>
      </c>
      <c r="M73" s="1" t="s">
        <v>221</v>
      </c>
      <c r="N73" s="5">
        <f>DATE(2019,5,31)</f>
        <v>43616</v>
      </c>
      <c r="O73" s="5">
        <f>DATE(2020,12,20)</f>
        <v>44185</v>
      </c>
      <c r="P73" s="5">
        <f t="shared" si="20"/>
        <v>45280</v>
      </c>
      <c r="Q73" s="1">
        <v>440</v>
      </c>
      <c r="R73" s="1">
        <v>360</v>
      </c>
      <c r="S73" s="1">
        <f t="shared" si="21"/>
        <v>360</v>
      </c>
      <c r="T73" s="1">
        <v>2.5</v>
      </c>
      <c r="U73" s="1" t="str">
        <f t="shared" si="22"/>
        <v>NÃO</v>
      </c>
      <c r="V73" s="1">
        <f t="shared" si="23"/>
        <v>570</v>
      </c>
      <c r="W73" s="4">
        <f t="shared" si="24"/>
        <v>0.63157894736842102</v>
      </c>
      <c r="X73" s="4">
        <f t="shared" si="25"/>
        <v>230.52631578947367</v>
      </c>
      <c r="Y73" s="4">
        <f t="shared" si="26"/>
        <v>0.28815789473684211</v>
      </c>
      <c r="AB73" s="5">
        <f t="shared" si="27"/>
        <v>45292</v>
      </c>
      <c r="AC73" s="5">
        <f t="shared" si="28"/>
        <v>45657</v>
      </c>
      <c r="AD73" s="1">
        <v>7</v>
      </c>
      <c r="AE73" s="1">
        <f t="shared" si="29"/>
        <v>0</v>
      </c>
      <c r="AF73" s="1">
        <f t="shared" si="30"/>
        <v>0</v>
      </c>
      <c r="AG73" s="1">
        <f t="shared" si="31"/>
        <v>0</v>
      </c>
      <c r="AH73" s="1">
        <f t="shared" si="32"/>
        <v>0</v>
      </c>
      <c r="AI73" s="1">
        <f t="shared" si="33"/>
        <v>183</v>
      </c>
      <c r="AJ73" s="3">
        <f t="shared" si="34"/>
        <v>0.5</v>
      </c>
      <c r="AK73" s="3">
        <f t="shared" si="35"/>
        <v>0.14407894736842106</v>
      </c>
      <c r="AL73" s="3">
        <f t="shared" si="36"/>
        <v>0</v>
      </c>
      <c r="AM73" s="3">
        <f t="shared" si="37"/>
        <v>0</v>
      </c>
      <c r="AN73" s="3">
        <f t="shared" si="38"/>
        <v>0</v>
      </c>
      <c r="AO73" s="3">
        <f t="shared" si="39"/>
        <v>0</v>
      </c>
      <c r="AP73" s="1" t="str">
        <f>INDEX({"EAD";"EAD";"EAD";"EAD MOOC";"EAD";"EAD";"EAD FP";"EAD";"PRESENCIAL";"PRESENCIAL";"PRESENCIAL";"PRESENCIAL"}, MATCH(CONCATENATE(E73, ".", F73),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74" spans="1:42" x14ac:dyDescent="0.25">
      <c r="A74" s="1" t="s">
        <v>27</v>
      </c>
      <c r="B74" s="1" t="s">
        <v>33</v>
      </c>
      <c r="C74" s="1" t="s">
        <v>29</v>
      </c>
      <c r="D74" s="1" t="s">
        <v>34</v>
      </c>
      <c r="E74" s="1" t="s">
        <v>120</v>
      </c>
      <c r="F74" s="1" t="s">
        <v>21</v>
      </c>
      <c r="G74" s="1" t="s">
        <v>128</v>
      </c>
      <c r="H74" s="1" t="s">
        <v>129</v>
      </c>
      <c r="I74" s="1" t="s">
        <v>124</v>
      </c>
      <c r="J74" s="1" t="s">
        <v>125</v>
      </c>
      <c r="K74" s="1" t="s">
        <v>130</v>
      </c>
      <c r="L74" s="1">
        <v>2691031</v>
      </c>
      <c r="M74" s="1" t="s">
        <v>222</v>
      </c>
      <c r="N74" s="5">
        <f>DATE(2020,2,3)</f>
        <v>43864</v>
      </c>
      <c r="O74" s="5">
        <f>DATE(2022,12,30)</f>
        <v>44925</v>
      </c>
      <c r="P74" s="5">
        <f t="shared" si="20"/>
        <v>46020</v>
      </c>
      <c r="Q74" s="1">
        <v>3670</v>
      </c>
      <c r="R74" s="1">
        <v>800</v>
      </c>
      <c r="S74" s="1">
        <f t="shared" si="21"/>
        <v>3000</v>
      </c>
      <c r="T74" s="1">
        <v>1.5</v>
      </c>
      <c r="U74" s="1" t="str">
        <f t="shared" si="22"/>
        <v>SIM</v>
      </c>
      <c r="V74" s="1">
        <f t="shared" si="23"/>
        <v>1062</v>
      </c>
      <c r="W74" s="4">
        <f t="shared" si="24"/>
        <v>2.8248587570621471</v>
      </c>
      <c r="X74" s="4">
        <f t="shared" si="25"/>
        <v>1031.0734463276838</v>
      </c>
      <c r="Y74" s="4">
        <f t="shared" si="26"/>
        <v>1.2888418079096047</v>
      </c>
      <c r="AB74" s="5">
        <f t="shared" si="27"/>
        <v>45292</v>
      </c>
      <c r="AC74" s="5">
        <f t="shared" si="28"/>
        <v>45657</v>
      </c>
      <c r="AD74" s="1">
        <v>5</v>
      </c>
      <c r="AE74" s="1">
        <f t="shared" si="29"/>
        <v>0</v>
      </c>
      <c r="AF74" s="1">
        <f t="shared" si="30"/>
        <v>0</v>
      </c>
      <c r="AG74" s="1">
        <f t="shared" si="31"/>
        <v>0</v>
      </c>
      <c r="AH74" s="1">
        <f t="shared" si="32"/>
        <v>0</v>
      </c>
      <c r="AI74" s="1">
        <f t="shared" si="33"/>
        <v>183</v>
      </c>
      <c r="AJ74" s="3">
        <f t="shared" si="34"/>
        <v>0.5</v>
      </c>
      <c r="AK74" s="3">
        <f t="shared" si="35"/>
        <v>0.64442090395480234</v>
      </c>
      <c r="AL74" s="3">
        <f t="shared" si="36"/>
        <v>1.6110522598870058</v>
      </c>
      <c r="AM74" s="3">
        <f t="shared" si="37"/>
        <v>2.4165783898305087</v>
      </c>
      <c r="AN74" s="3">
        <f t="shared" si="38"/>
        <v>0</v>
      </c>
      <c r="AO74" s="3">
        <f t="shared" si="39"/>
        <v>2.4165783898305087</v>
      </c>
      <c r="AP74" s="1" t="str">
        <f>INDEX({"EAD";"EAD";"EAD";"EAD MOOC";"EAD";"EAD";"EAD FP";"EAD";"PRESENCIAL";"PRESENCIAL";"PRESENCIAL";"PRESENCIAL"}, MATCH(CONCATENATE(E74, ".", F74),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5" spans="1:42" x14ac:dyDescent="0.25">
      <c r="A75" s="1" t="s">
        <v>27</v>
      </c>
      <c r="B75" s="1" t="s">
        <v>33</v>
      </c>
      <c r="C75" s="1" t="s">
        <v>29</v>
      </c>
      <c r="D75" s="1" t="s">
        <v>34</v>
      </c>
      <c r="E75" s="1" t="s">
        <v>120</v>
      </c>
      <c r="F75" s="1" t="s">
        <v>21</v>
      </c>
      <c r="G75" s="1" t="s">
        <v>128</v>
      </c>
      <c r="H75" s="1" t="s">
        <v>223</v>
      </c>
      <c r="I75" s="1" t="s">
        <v>224</v>
      </c>
      <c r="J75" s="1" t="s">
        <v>125</v>
      </c>
      <c r="K75" s="1" t="s">
        <v>130</v>
      </c>
      <c r="L75" s="1">
        <v>2691034</v>
      </c>
      <c r="M75" s="1" t="s">
        <v>225</v>
      </c>
      <c r="N75" s="5">
        <f>DATE(2020,2,3)</f>
        <v>43864</v>
      </c>
      <c r="O75" s="5">
        <f>DATE(2022,12,30)</f>
        <v>44925</v>
      </c>
      <c r="P75" s="5">
        <f t="shared" si="20"/>
        <v>46020</v>
      </c>
      <c r="Q75" s="1">
        <v>3782</v>
      </c>
      <c r="R75" s="1">
        <v>1200</v>
      </c>
      <c r="S75" s="1">
        <f t="shared" si="21"/>
        <v>3200</v>
      </c>
      <c r="T75" s="1">
        <v>2.5</v>
      </c>
      <c r="U75" s="1" t="str">
        <f t="shared" si="22"/>
        <v>SIM</v>
      </c>
      <c r="V75" s="1">
        <f t="shared" si="23"/>
        <v>1062</v>
      </c>
      <c r="W75" s="4">
        <f t="shared" si="24"/>
        <v>3.0131826741996233</v>
      </c>
      <c r="X75" s="4">
        <f t="shared" si="25"/>
        <v>1099.8116760828625</v>
      </c>
      <c r="Y75" s="4">
        <f t="shared" si="26"/>
        <v>1.3747645951035781</v>
      </c>
      <c r="AB75" s="5">
        <f t="shared" si="27"/>
        <v>45292</v>
      </c>
      <c r="AC75" s="5">
        <f t="shared" si="28"/>
        <v>45657</v>
      </c>
      <c r="AD75" s="1">
        <v>2</v>
      </c>
      <c r="AE75" s="1">
        <f t="shared" si="29"/>
        <v>0</v>
      </c>
      <c r="AF75" s="1">
        <f t="shared" si="30"/>
        <v>0</v>
      </c>
      <c r="AG75" s="1">
        <f t="shared" si="31"/>
        <v>0</v>
      </c>
      <c r="AH75" s="1">
        <f t="shared" si="32"/>
        <v>0</v>
      </c>
      <c r="AI75" s="1">
        <f t="shared" si="33"/>
        <v>183</v>
      </c>
      <c r="AJ75" s="3">
        <f t="shared" si="34"/>
        <v>0.5</v>
      </c>
      <c r="AK75" s="3">
        <f t="shared" si="35"/>
        <v>0.68738229755178903</v>
      </c>
      <c r="AL75" s="3">
        <f t="shared" si="36"/>
        <v>0.68738229755178903</v>
      </c>
      <c r="AM75" s="3">
        <f t="shared" si="37"/>
        <v>1.7184557438794725</v>
      </c>
      <c r="AN75" s="3">
        <f t="shared" si="38"/>
        <v>0</v>
      </c>
      <c r="AO75" s="3">
        <f t="shared" si="39"/>
        <v>1.7184557438794725</v>
      </c>
      <c r="AP75" s="1" t="str">
        <f>INDEX({"EAD";"EAD";"EAD";"EAD MOOC";"EAD";"EAD";"EAD FP";"EAD";"PRESENCIAL";"PRESENCIAL";"PRESENCIAL";"PRESENCIAL"}, MATCH(CONCATENATE(E75, ".", F75),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6" spans="1:42" x14ac:dyDescent="0.25">
      <c r="A76" s="1" t="s">
        <v>27</v>
      </c>
      <c r="B76" s="1" t="s">
        <v>33</v>
      </c>
      <c r="C76" s="1" t="s">
        <v>29</v>
      </c>
      <c r="D76" s="1" t="s">
        <v>34</v>
      </c>
      <c r="E76" s="1" t="s">
        <v>120</v>
      </c>
      <c r="F76" s="1" t="s">
        <v>21</v>
      </c>
      <c r="G76" s="1" t="s">
        <v>128</v>
      </c>
      <c r="H76" s="1" t="s">
        <v>208</v>
      </c>
      <c r="I76" s="1" t="s">
        <v>209</v>
      </c>
      <c r="J76" s="1" t="s">
        <v>125</v>
      </c>
      <c r="K76" s="1" t="s">
        <v>130</v>
      </c>
      <c r="L76" s="1">
        <v>2691036</v>
      </c>
      <c r="M76" s="1" t="s">
        <v>226</v>
      </c>
      <c r="N76" s="5">
        <f>DATE(2020,2,3)</f>
        <v>43864</v>
      </c>
      <c r="O76" s="5">
        <f>DATE(2022,12,30)</f>
        <v>44925</v>
      </c>
      <c r="P76" s="5">
        <f t="shared" si="20"/>
        <v>46020</v>
      </c>
      <c r="Q76" s="1">
        <v>3738</v>
      </c>
      <c r="R76" s="1">
        <v>1200</v>
      </c>
      <c r="S76" s="1">
        <f t="shared" si="21"/>
        <v>3200</v>
      </c>
      <c r="T76" s="1">
        <v>1.5</v>
      </c>
      <c r="U76" s="1" t="str">
        <f t="shared" si="22"/>
        <v>SIM</v>
      </c>
      <c r="V76" s="1">
        <f t="shared" si="23"/>
        <v>1062</v>
      </c>
      <c r="W76" s="4">
        <f t="shared" si="24"/>
        <v>3.0131826741996233</v>
      </c>
      <c r="X76" s="4">
        <f t="shared" si="25"/>
        <v>1099.8116760828625</v>
      </c>
      <c r="Y76" s="4">
        <f t="shared" si="26"/>
        <v>1.3747645951035781</v>
      </c>
      <c r="AB76" s="5">
        <f t="shared" si="27"/>
        <v>45292</v>
      </c>
      <c r="AC76" s="5">
        <f t="shared" si="28"/>
        <v>45657</v>
      </c>
      <c r="AD76" s="1">
        <v>7</v>
      </c>
      <c r="AE76" s="1">
        <f t="shared" si="29"/>
        <v>0</v>
      </c>
      <c r="AF76" s="1">
        <f t="shared" si="30"/>
        <v>0</v>
      </c>
      <c r="AG76" s="1">
        <f t="shared" si="31"/>
        <v>0</v>
      </c>
      <c r="AH76" s="1">
        <f t="shared" si="32"/>
        <v>0</v>
      </c>
      <c r="AI76" s="1">
        <f t="shared" si="33"/>
        <v>183</v>
      </c>
      <c r="AJ76" s="3">
        <f t="shared" si="34"/>
        <v>0.5</v>
      </c>
      <c r="AK76" s="3">
        <f t="shared" si="35"/>
        <v>0.68738229755178903</v>
      </c>
      <c r="AL76" s="3">
        <f t="shared" si="36"/>
        <v>2.4058380414312617</v>
      </c>
      <c r="AM76" s="3">
        <f t="shared" si="37"/>
        <v>3.6087570621468927</v>
      </c>
      <c r="AN76" s="3">
        <f t="shared" si="38"/>
        <v>0</v>
      </c>
      <c r="AO76" s="3">
        <f t="shared" si="39"/>
        <v>3.6087570621468927</v>
      </c>
      <c r="AP76" s="1" t="str">
        <f>INDEX({"EAD";"EAD";"EAD";"EAD MOOC";"EAD";"EAD";"EAD FP";"EAD";"PRESENCIAL";"PRESENCIAL";"PRESENCIAL";"PRESENCIAL"}, MATCH(CONCATENATE(E76, ".", F76),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7" spans="1:42" x14ac:dyDescent="0.25">
      <c r="A77" s="1" t="s">
        <v>27</v>
      </c>
      <c r="B77" s="1" t="s">
        <v>33</v>
      </c>
      <c r="C77" s="1" t="s">
        <v>29</v>
      </c>
      <c r="D77" s="1" t="s">
        <v>34</v>
      </c>
      <c r="E77" s="1" t="s">
        <v>120</v>
      </c>
      <c r="F77" s="1" t="s">
        <v>21</v>
      </c>
      <c r="G77" s="1" t="s">
        <v>128</v>
      </c>
      <c r="H77" s="1" t="s">
        <v>227</v>
      </c>
      <c r="I77" s="1" t="s">
        <v>228</v>
      </c>
      <c r="J77" s="1" t="s">
        <v>125</v>
      </c>
      <c r="K77" s="1" t="s">
        <v>130</v>
      </c>
      <c r="L77" s="1">
        <v>2691040</v>
      </c>
      <c r="M77" s="1" t="s">
        <v>229</v>
      </c>
      <c r="N77" s="5">
        <f>DATE(2020,2,3)</f>
        <v>43864</v>
      </c>
      <c r="O77" s="5">
        <f>DATE(2022,12,30)</f>
        <v>44925</v>
      </c>
      <c r="P77" s="5">
        <f t="shared" si="20"/>
        <v>46020</v>
      </c>
      <c r="Q77" s="1">
        <v>3860</v>
      </c>
      <c r="R77" s="1">
        <v>1200</v>
      </c>
      <c r="S77" s="1">
        <f t="shared" si="21"/>
        <v>3200</v>
      </c>
      <c r="T77" s="1">
        <v>2.5</v>
      </c>
      <c r="U77" s="1" t="str">
        <f t="shared" si="22"/>
        <v>SIM</v>
      </c>
      <c r="V77" s="1">
        <f t="shared" si="23"/>
        <v>1062</v>
      </c>
      <c r="W77" s="4">
        <f t="shared" si="24"/>
        <v>3.0131826741996233</v>
      </c>
      <c r="X77" s="4">
        <f t="shared" si="25"/>
        <v>1099.8116760828625</v>
      </c>
      <c r="Y77" s="4">
        <f t="shared" si="26"/>
        <v>1.3747645951035781</v>
      </c>
      <c r="AB77" s="5">
        <f t="shared" si="27"/>
        <v>45292</v>
      </c>
      <c r="AC77" s="5">
        <f t="shared" si="28"/>
        <v>45657</v>
      </c>
      <c r="AD77" s="1">
        <v>3</v>
      </c>
      <c r="AE77" s="1">
        <f t="shared" si="29"/>
        <v>0</v>
      </c>
      <c r="AF77" s="1">
        <f t="shared" si="30"/>
        <v>0</v>
      </c>
      <c r="AG77" s="1">
        <f t="shared" si="31"/>
        <v>0</v>
      </c>
      <c r="AH77" s="1">
        <f t="shared" si="32"/>
        <v>0</v>
      </c>
      <c r="AI77" s="1">
        <f t="shared" si="33"/>
        <v>183</v>
      </c>
      <c r="AJ77" s="3">
        <f t="shared" si="34"/>
        <v>0.5</v>
      </c>
      <c r="AK77" s="3">
        <f t="shared" si="35"/>
        <v>0.68738229755178903</v>
      </c>
      <c r="AL77" s="3">
        <f t="shared" si="36"/>
        <v>1.0310734463276836</v>
      </c>
      <c r="AM77" s="3">
        <f t="shared" si="37"/>
        <v>2.5776836158192089</v>
      </c>
      <c r="AN77" s="3">
        <f t="shared" si="38"/>
        <v>0</v>
      </c>
      <c r="AO77" s="3">
        <f t="shared" si="39"/>
        <v>2.5776836158192089</v>
      </c>
      <c r="AP77" s="1" t="str">
        <f>INDEX({"EAD";"EAD";"EAD";"EAD MOOC";"EAD";"EAD";"EAD FP";"EAD";"PRESENCIAL";"PRESENCIAL";"PRESENCIAL";"PRESENCIAL"}, MATCH(CONCATENATE(E77, ".", F77),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8" spans="1:42" x14ac:dyDescent="0.25">
      <c r="A78" s="1" t="s">
        <v>27</v>
      </c>
      <c r="B78" s="1" t="s">
        <v>33</v>
      </c>
      <c r="C78" s="1" t="s">
        <v>29</v>
      </c>
      <c r="D78" s="1" t="s">
        <v>34</v>
      </c>
      <c r="E78" s="1" t="s">
        <v>120</v>
      </c>
      <c r="F78" s="1" t="s">
        <v>21</v>
      </c>
      <c r="G78" s="1" t="s">
        <v>140</v>
      </c>
      <c r="H78" s="1" t="s">
        <v>211</v>
      </c>
      <c r="I78" s="1" t="s">
        <v>124</v>
      </c>
      <c r="J78" s="1" t="s">
        <v>125</v>
      </c>
      <c r="K78" s="1" t="s">
        <v>109</v>
      </c>
      <c r="L78" s="1">
        <v>2691053</v>
      </c>
      <c r="M78" s="1" t="s">
        <v>230</v>
      </c>
      <c r="N78" s="5">
        <f>DATE(2020,2,3)</f>
        <v>43864</v>
      </c>
      <c r="O78" s="5">
        <f>DATE(2022,12,30)</f>
        <v>44925</v>
      </c>
      <c r="P78" s="5">
        <f t="shared" si="20"/>
        <v>46020</v>
      </c>
      <c r="Q78" s="1">
        <v>1980</v>
      </c>
      <c r="R78" s="1">
        <v>1600</v>
      </c>
      <c r="S78" s="1">
        <f t="shared" si="21"/>
        <v>1600</v>
      </c>
      <c r="T78" s="1">
        <v>1</v>
      </c>
      <c r="U78" s="1" t="str">
        <f t="shared" si="22"/>
        <v>SIM</v>
      </c>
      <c r="V78" s="1">
        <f t="shared" si="23"/>
        <v>1062</v>
      </c>
      <c r="W78" s="4">
        <f t="shared" si="24"/>
        <v>1.5065913370998116</v>
      </c>
      <c r="X78" s="4">
        <f t="shared" si="25"/>
        <v>549.90583804143125</v>
      </c>
      <c r="Y78" s="4">
        <f t="shared" si="26"/>
        <v>0.68738229755178903</v>
      </c>
      <c r="AB78" s="5">
        <f t="shared" si="27"/>
        <v>45292</v>
      </c>
      <c r="AC78" s="5">
        <f t="shared" si="28"/>
        <v>45657</v>
      </c>
      <c r="AD78" s="1">
        <v>14</v>
      </c>
      <c r="AE78" s="1">
        <f t="shared" si="29"/>
        <v>0</v>
      </c>
      <c r="AF78" s="1">
        <f t="shared" si="30"/>
        <v>0</v>
      </c>
      <c r="AG78" s="1">
        <f t="shared" si="31"/>
        <v>0</v>
      </c>
      <c r="AH78" s="1">
        <f t="shared" si="32"/>
        <v>0</v>
      </c>
      <c r="AI78" s="1">
        <f t="shared" si="33"/>
        <v>183</v>
      </c>
      <c r="AJ78" s="3">
        <f t="shared" si="34"/>
        <v>0.5</v>
      </c>
      <c r="AK78" s="3">
        <f t="shared" si="35"/>
        <v>0.34369114877589452</v>
      </c>
      <c r="AL78" s="3">
        <f t="shared" si="36"/>
        <v>2.4058380414312617</v>
      </c>
      <c r="AM78" s="3">
        <f t="shared" si="37"/>
        <v>2.4058380414312617</v>
      </c>
      <c r="AN78" s="3">
        <f t="shared" si="38"/>
        <v>0</v>
      </c>
      <c r="AO78" s="3">
        <f t="shared" si="39"/>
        <v>2.4058380414312617</v>
      </c>
      <c r="AP78" s="1" t="str">
        <f>INDEX({"EAD";"EAD";"EAD";"EAD MOOC";"EAD";"EAD";"EAD FP";"EAD";"PRESENCIAL";"PRESENCIAL";"PRESENCIAL";"PRESENCIAL"}, MATCH(CONCATENATE(E78, ".", F78),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9" spans="1:42" x14ac:dyDescent="0.25">
      <c r="A79" s="1" t="s">
        <v>27</v>
      </c>
      <c r="B79" s="1" t="s">
        <v>33</v>
      </c>
      <c r="C79" s="1" t="s">
        <v>29</v>
      </c>
      <c r="D79" s="1" t="s">
        <v>34</v>
      </c>
      <c r="E79" s="1" t="s">
        <v>120</v>
      </c>
      <c r="F79" s="1" t="s">
        <v>21</v>
      </c>
      <c r="G79" s="1" t="s">
        <v>140</v>
      </c>
      <c r="H79" s="1" t="s">
        <v>211</v>
      </c>
      <c r="I79" s="1" t="s">
        <v>124</v>
      </c>
      <c r="J79" s="1" t="s">
        <v>125</v>
      </c>
      <c r="K79" s="1" t="s">
        <v>109</v>
      </c>
      <c r="L79" s="1">
        <v>2774197</v>
      </c>
      <c r="M79" s="1" t="s">
        <v>231</v>
      </c>
      <c r="N79" s="5">
        <f>DATE(2021,5,1)</f>
        <v>44317</v>
      </c>
      <c r="O79" s="5">
        <f>DATE(2024,2,29)</f>
        <v>45351</v>
      </c>
      <c r="P79" s="5">
        <f t="shared" si="20"/>
        <v>46446</v>
      </c>
      <c r="Q79" s="1">
        <v>1722</v>
      </c>
      <c r="R79" s="1">
        <v>1600</v>
      </c>
      <c r="S79" s="1">
        <f t="shared" si="21"/>
        <v>1600</v>
      </c>
      <c r="T79" s="1">
        <v>1</v>
      </c>
      <c r="U79" s="1" t="str">
        <f t="shared" si="22"/>
        <v>SIM</v>
      </c>
      <c r="V79" s="1">
        <f t="shared" si="23"/>
        <v>1035</v>
      </c>
      <c r="W79" s="4">
        <f t="shared" si="24"/>
        <v>1.5458937198067633</v>
      </c>
      <c r="X79" s="4">
        <f t="shared" si="25"/>
        <v>564.25120772946855</v>
      </c>
      <c r="Y79" s="4">
        <f t="shared" si="26"/>
        <v>0.70531400966183566</v>
      </c>
      <c r="AB79" s="5">
        <f t="shared" si="27"/>
        <v>45292</v>
      </c>
      <c r="AC79" s="5">
        <f t="shared" si="28"/>
        <v>45657</v>
      </c>
      <c r="AD79" s="1">
        <v>22</v>
      </c>
      <c r="AE79" s="1">
        <f t="shared" si="29"/>
        <v>0</v>
      </c>
      <c r="AF79" s="1">
        <f t="shared" si="30"/>
        <v>0</v>
      </c>
      <c r="AG79" s="1">
        <f t="shared" si="31"/>
        <v>60</v>
      </c>
      <c r="AH79" s="1">
        <f t="shared" si="32"/>
        <v>0</v>
      </c>
      <c r="AI79" s="1">
        <f t="shared" si="33"/>
        <v>0</v>
      </c>
      <c r="AJ79" s="3">
        <f t="shared" si="34"/>
        <v>0.16393442622950818</v>
      </c>
      <c r="AK79" s="3">
        <f t="shared" si="35"/>
        <v>0.11562524748554683</v>
      </c>
      <c r="AL79" s="3">
        <f t="shared" si="36"/>
        <v>2.5437554446820303</v>
      </c>
      <c r="AM79" s="3">
        <f t="shared" si="37"/>
        <v>2.5437554446820303</v>
      </c>
      <c r="AN79" s="3">
        <f t="shared" si="38"/>
        <v>0</v>
      </c>
      <c r="AO79" s="3">
        <f t="shared" si="39"/>
        <v>2.5437554446820303</v>
      </c>
      <c r="AP79" s="1" t="str">
        <f>INDEX({"EAD";"EAD";"EAD";"EAD MOOC";"EAD";"EAD";"EAD FP";"EAD";"PRESENCIAL";"PRESENCIAL";"PRESENCIAL";"PRESENCIAL"}, MATCH(CONCATENATE(E79, ".", F79),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0" spans="1:42" x14ac:dyDescent="0.25">
      <c r="A80" s="1" t="s">
        <v>27</v>
      </c>
      <c r="B80" s="1" t="s">
        <v>33</v>
      </c>
      <c r="C80" s="1" t="s">
        <v>29</v>
      </c>
      <c r="D80" s="1" t="s">
        <v>34</v>
      </c>
      <c r="E80" s="1" t="s">
        <v>120</v>
      </c>
      <c r="F80" s="1" t="s">
        <v>21</v>
      </c>
      <c r="G80" s="1" t="s">
        <v>128</v>
      </c>
      <c r="H80" s="1" t="s">
        <v>129</v>
      </c>
      <c r="I80" s="1" t="s">
        <v>124</v>
      </c>
      <c r="J80" s="1" t="s">
        <v>125</v>
      </c>
      <c r="K80" s="1" t="s">
        <v>130</v>
      </c>
      <c r="L80" s="1">
        <v>2774200</v>
      </c>
      <c r="M80" s="1" t="s">
        <v>232</v>
      </c>
      <c r="N80" s="5">
        <f>DATE(2021,5,1)</f>
        <v>44317</v>
      </c>
      <c r="O80" s="5">
        <f>DATE(2024,2,29)</f>
        <v>45351</v>
      </c>
      <c r="P80" s="5">
        <f t="shared" si="20"/>
        <v>46446</v>
      </c>
      <c r="Q80" s="1">
        <v>3670</v>
      </c>
      <c r="R80" s="1">
        <v>800</v>
      </c>
      <c r="S80" s="1">
        <f t="shared" si="21"/>
        <v>3000</v>
      </c>
      <c r="T80" s="1">
        <v>1.5</v>
      </c>
      <c r="U80" s="1" t="str">
        <f t="shared" si="22"/>
        <v>SIM</v>
      </c>
      <c r="V80" s="1">
        <f t="shared" si="23"/>
        <v>1035</v>
      </c>
      <c r="W80" s="4">
        <f t="shared" si="24"/>
        <v>2.8985507246376812</v>
      </c>
      <c r="X80" s="4">
        <f t="shared" si="25"/>
        <v>1057.9710144927535</v>
      </c>
      <c r="Y80" s="4">
        <f t="shared" si="26"/>
        <v>1.3224637681159419</v>
      </c>
      <c r="AB80" s="5">
        <f t="shared" si="27"/>
        <v>45292</v>
      </c>
      <c r="AC80" s="5">
        <f t="shared" si="28"/>
        <v>45657</v>
      </c>
      <c r="AD80" s="1">
        <v>26</v>
      </c>
      <c r="AE80" s="1">
        <f t="shared" si="29"/>
        <v>0</v>
      </c>
      <c r="AF80" s="1">
        <f t="shared" si="30"/>
        <v>0</v>
      </c>
      <c r="AG80" s="1">
        <f t="shared" si="31"/>
        <v>60</v>
      </c>
      <c r="AH80" s="1">
        <f t="shared" si="32"/>
        <v>0</v>
      </c>
      <c r="AI80" s="1">
        <f t="shared" si="33"/>
        <v>0</v>
      </c>
      <c r="AJ80" s="3">
        <f t="shared" si="34"/>
        <v>0.16393442622950818</v>
      </c>
      <c r="AK80" s="3">
        <f t="shared" si="35"/>
        <v>0.2167973390354003</v>
      </c>
      <c r="AL80" s="3">
        <f t="shared" si="36"/>
        <v>5.6367308149204076</v>
      </c>
      <c r="AM80" s="3">
        <f t="shared" si="37"/>
        <v>8.455096222380611</v>
      </c>
      <c r="AN80" s="3">
        <f t="shared" si="38"/>
        <v>0</v>
      </c>
      <c r="AO80" s="3">
        <f t="shared" si="39"/>
        <v>8.455096222380611</v>
      </c>
      <c r="AP80" s="1" t="str">
        <f>INDEX({"EAD";"EAD";"EAD";"EAD MOOC";"EAD";"EAD";"EAD FP";"EAD";"PRESENCIAL";"PRESENCIAL";"PRESENCIAL";"PRESENCIAL"}, MATCH(CONCATENATE(E80, ".", F80),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1" spans="1:42" x14ac:dyDescent="0.25">
      <c r="A81" s="1" t="s">
        <v>27</v>
      </c>
      <c r="B81" s="1" t="s">
        <v>33</v>
      </c>
      <c r="C81" s="1" t="s">
        <v>29</v>
      </c>
      <c r="D81" s="1" t="s">
        <v>34</v>
      </c>
      <c r="E81" s="1" t="s">
        <v>120</v>
      </c>
      <c r="F81" s="1" t="s">
        <v>21</v>
      </c>
      <c r="G81" s="1" t="s">
        <v>128</v>
      </c>
      <c r="H81" s="1" t="s">
        <v>208</v>
      </c>
      <c r="I81" s="1" t="s">
        <v>209</v>
      </c>
      <c r="J81" s="1" t="s">
        <v>125</v>
      </c>
      <c r="K81" s="1" t="s">
        <v>130</v>
      </c>
      <c r="L81" s="1">
        <v>2774201</v>
      </c>
      <c r="M81" s="1" t="s">
        <v>233</v>
      </c>
      <c r="N81" s="5">
        <f>DATE(2021,5,1)</f>
        <v>44317</v>
      </c>
      <c r="O81" s="5">
        <f>DATE(2024,2,29)</f>
        <v>45351</v>
      </c>
      <c r="P81" s="5">
        <f t="shared" si="20"/>
        <v>46446</v>
      </c>
      <c r="Q81" s="1">
        <v>3738</v>
      </c>
      <c r="R81" s="1">
        <v>1200</v>
      </c>
      <c r="S81" s="1">
        <f t="shared" si="21"/>
        <v>3200</v>
      </c>
      <c r="T81" s="1">
        <v>1.5</v>
      </c>
      <c r="U81" s="1" t="str">
        <f t="shared" si="22"/>
        <v>SIM</v>
      </c>
      <c r="V81" s="1">
        <f t="shared" si="23"/>
        <v>1035</v>
      </c>
      <c r="W81" s="4">
        <f t="shared" si="24"/>
        <v>3.0917874396135265</v>
      </c>
      <c r="X81" s="4">
        <f t="shared" si="25"/>
        <v>1128.5024154589371</v>
      </c>
      <c r="Y81" s="4">
        <f t="shared" si="26"/>
        <v>1.4106280193236713</v>
      </c>
      <c r="AB81" s="5">
        <f t="shared" si="27"/>
        <v>45292</v>
      </c>
      <c r="AC81" s="5">
        <f t="shared" si="28"/>
        <v>45657</v>
      </c>
      <c r="AD81" s="1">
        <v>53</v>
      </c>
      <c r="AE81" s="1">
        <f t="shared" si="29"/>
        <v>0</v>
      </c>
      <c r="AF81" s="1">
        <f t="shared" si="30"/>
        <v>0</v>
      </c>
      <c r="AG81" s="1">
        <f t="shared" si="31"/>
        <v>60</v>
      </c>
      <c r="AH81" s="1">
        <f t="shared" si="32"/>
        <v>0</v>
      </c>
      <c r="AI81" s="1">
        <f t="shared" si="33"/>
        <v>0</v>
      </c>
      <c r="AJ81" s="3">
        <f t="shared" si="34"/>
        <v>0.16393442622950818</v>
      </c>
      <c r="AK81" s="3">
        <f t="shared" si="35"/>
        <v>0.23125049497109365</v>
      </c>
      <c r="AL81" s="3">
        <f t="shared" si="36"/>
        <v>12.256276233467963</v>
      </c>
      <c r="AM81" s="3">
        <f t="shared" si="37"/>
        <v>18.384414350201943</v>
      </c>
      <c r="AN81" s="3">
        <f t="shared" si="38"/>
        <v>0</v>
      </c>
      <c r="AO81" s="3">
        <f t="shared" si="39"/>
        <v>18.384414350201943</v>
      </c>
      <c r="AP81" s="1" t="str">
        <f>INDEX({"EAD";"EAD";"EAD";"EAD MOOC";"EAD";"EAD";"EAD FP";"EAD";"PRESENCIAL";"PRESENCIAL";"PRESENCIAL";"PRESENCIAL"}, MATCH(CONCATENATE(E81, ".", F81),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2" spans="1:42" x14ac:dyDescent="0.25">
      <c r="A82" s="1" t="s">
        <v>27</v>
      </c>
      <c r="B82" s="1" t="s">
        <v>33</v>
      </c>
      <c r="C82" s="1" t="s">
        <v>29</v>
      </c>
      <c r="D82" s="1" t="s">
        <v>34</v>
      </c>
      <c r="E82" s="1" t="s">
        <v>120</v>
      </c>
      <c r="F82" s="1" t="s">
        <v>21</v>
      </c>
      <c r="G82" s="1" t="s">
        <v>128</v>
      </c>
      <c r="H82" s="1" t="s">
        <v>223</v>
      </c>
      <c r="I82" s="1" t="s">
        <v>224</v>
      </c>
      <c r="J82" s="1" t="s">
        <v>125</v>
      </c>
      <c r="K82" s="1" t="s">
        <v>130</v>
      </c>
      <c r="L82" s="1">
        <v>2774202</v>
      </c>
      <c r="M82" s="1" t="s">
        <v>234</v>
      </c>
      <c r="N82" s="5">
        <f>DATE(2021,5,1)</f>
        <v>44317</v>
      </c>
      <c r="O82" s="5">
        <f>DATE(2024,2,29)</f>
        <v>45351</v>
      </c>
      <c r="P82" s="5">
        <f t="shared" si="20"/>
        <v>46446</v>
      </c>
      <c r="Q82" s="1">
        <v>3782</v>
      </c>
      <c r="R82" s="1">
        <v>1200</v>
      </c>
      <c r="S82" s="1">
        <f t="shared" si="21"/>
        <v>3200</v>
      </c>
      <c r="T82" s="1">
        <v>2.5</v>
      </c>
      <c r="U82" s="1" t="str">
        <f t="shared" si="22"/>
        <v>SIM</v>
      </c>
      <c r="V82" s="1">
        <f t="shared" si="23"/>
        <v>1035</v>
      </c>
      <c r="W82" s="4">
        <f t="shared" si="24"/>
        <v>3.0917874396135265</v>
      </c>
      <c r="X82" s="4">
        <f t="shared" si="25"/>
        <v>1128.5024154589371</v>
      </c>
      <c r="Y82" s="4">
        <f t="shared" si="26"/>
        <v>1.4106280193236713</v>
      </c>
      <c r="AB82" s="5">
        <f t="shared" si="27"/>
        <v>45292</v>
      </c>
      <c r="AC82" s="5">
        <f t="shared" si="28"/>
        <v>45657</v>
      </c>
      <c r="AD82" s="1">
        <v>19</v>
      </c>
      <c r="AE82" s="1">
        <f t="shared" si="29"/>
        <v>0</v>
      </c>
      <c r="AF82" s="1">
        <f t="shared" si="30"/>
        <v>0</v>
      </c>
      <c r="AG82" s="1">
        <f t="shared" si="31"/>
        <v>60</v>
      </c>
      <c r="AH82" s="1">
        <f t="shared" si="32"/>
        <v>0</v>
      </c>
      <c r="AI82" s="1">
        <f t="shared" si="33"/>
        <v>0</v>
      </c>
      <c r="AJ82" s="3">
        <f t="shared" si="34"/>
        <v>0.16393442622950818</v>
      </c>
      <c r="AK82" s="3">
        <f t="shared" si="35"/>
        <v>0.23125049497109365</v>
      </c>
      <c r="AL82" s="3">
        <f t="shared" si="36"/>
        <v>4.3937594044507797</v>
      </c>
      <c r="AM82" s="3">
        <f t="shared" si="37"/>
        <v>10.984398511126949</v>
      </c>
      <c r="AN82" s="3">
        <f t="shared" si="38"/>
        <v>0</v>
      </c>
      <c r="AO82" s="3">
        <f t="shared" si="39"/>
        <v>10.984398511126949</v>
      </c>
      <c r="AP82" s="1" t="str">
        <f>INDEX({"EAD";"EAD";"EAD";"EAD MOOC";"EAD";"EAD";"EAD FP";"EAD";"PRESENCIAL";"PRESENCIAL";"PRESENCIAL";"PRESENCIAL"}, MATCH(CONCATENATE(E82, ".", F82),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3" spans="1:42" x14ac:dyDescent="0.25">
      <c r="A83" s="1" t="s">
        <v>27</v>
      </c>
      <c r="B83" s="1" t="s">
        <v>33</v>
      </c>
      <c r="C83" s="1" t="s">
        <v>29</v>
      </c>
      <c r="D83" s="1" t="s">
        <v>34</v>
      </c>
      <c r="E83" s="1" t="s">
        <v>120</v>
      </c>
      <c r="F83" s="1" t="s">
        <v>21</v>
      </c>
      <c r="G83" s="1" t="s">
        <v>128</v>
      </c>
      <c r="H83" s="1" t="s">
        <v>132</v>
      </c>
      <c r="I83" s="1" t="s">
        <v>107</v>
      </c>
      <c r="J83" s="1" t="s">
        <v>108</v>
      </c>
      <c r="K83" s="1" t="s">
        <v>130</v>
      </c>
      <c r="L83" s="1">
        <v>2781994</v>
      </c>
      <c r="M83" s="1" t="s">
        <v>235</v>
      </c>
      <c r="N83" s="5">
        <f>DATE(2021,6,1)</f>
        <v>44348</v>
      </c>
      <c r="O83" s="5">
        <f>DATE(2024,2,27)</f>
        <v>45349</v>
      </c>
      <c r="P83" s="5">
        <f t="shared" si="20"/>
        <v>46444</v>
      </c>
      <c r="Q83" s="1">
        <v>3482</v>
      </c>
      <c r="R83" s="1">
        <v>1200</v>
      </c>
      <c r="S83" s="1">
        <f t="shared" si="21"/>
        <v>3200</v>
      </c>
      <c r="T83" s="1">
        <v>2.5</v>
      </c>
      <c r="U83" s="1" t="str">
        <f t="shared" si="22"/>
        <v>SIM</v>
      </c>
      <c r="V83" s="1">
        <f t="shared" si="23"/>
        <v>1002</v>
      </c>
      <c r="W83" s="4">
        <f t="shared" si="24"/>
        <v>3.1936127744510978</v>
      </c>
      <c r="X83" s="4">
        <f t="shared" si="25"/>
        <v>1165.6686626746507</v>
      </c>
      <c r="Y83" s="4">
        <f t="shared" si="26"/>
        <v>1.4570858283433135</v>
      </c>
      <c r="AB83" s="5">
        <f t="shared" si="27"/>
        <v>45292</v>
      </c>
      <c r="AC83" s="5">
        <f t="shared" si="28"/>
        <v>45657</v>
      </c>
      <c r="AD83" s="1">
        <v>22</v>
      </c>
      <c r="AE83" s="1">
        <f t="shared" si="29"/>
        <v>0</v>
      </c>
      <c r="AF83" s="1">
        <f t="shared" si="30"/>
        <v>0</v>
      </c>
      <c r="AG83" s="1">
        <f t="shared" si="31"/>
        <v>58</v>
      </c>
      <c r="AH83" s="1">
        <f t="shared" si="32"/>
        <v>0</v>
      </c>
      <c r="AI83" s="1">
        <f t="shared" si="33"/>
        <v>0</v>
      </c>
      <c r="AJ83" s="3">
        <f t="shared" si="34"/>
        <v>0.15846994535519127</v>
      </c>
      <c r="AK83" s="3">
        <f t="shared" si="35"/>
        <v>0.23090431159538849</v>
      </c>
      <c r="AL83" s="3">
        <f t="shared" si="36"/>
        <v>5.079894855098547</v>
      </c>
      <c r="AM83" s="3">
        <f t="shared" si="37"/>
        <v>12.699737137746368</v>
      </c>
      <c r="AN83" s="3">
        <f t="shared" si="38"/>
        <v>6.349868568873184</v>
      </c>
      <c r="AO83" s="3">
        <f t="shared" si="39"/>
        <v>19.049605706619552</v>
      </c>
      <c r="AP83" s="1" t="str">
        <f>INDEX({"EAD";"EAD";"EAD";"EAD MOOC";"EAD";"EAD";"EAD FP";"EAD";"PRESENCIAL";"PRESENCIAL";"PRESENCIAL";"PRESENCIAL"}, MATCH(CONCATENATE(E83, ".", F83),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4" spans="1:42" x14ac:dyDescent="0.25">
      <c r="A84" s="1" t="s">
        <v>27</v>
      </c>
      <c r="B84" s="1" t="s">
        <v>33</v>
      </c>
      <c r="C84" s="1" t="s">
        <v>29</v>
      </c>
      <c r="D84" s="1" t="s">
        <v>34</v>
      </c>
      <c r="E84" s="1" t="s">
        <v>120</v>
      </c>
      <c r="F84" s="1" t="s">
        <v>21</v>
      </c>
      <c r="G84" s="1" t="s">
        <v>140</v>
      </c>
      <c r="H84" s="1" t="s">
        <v>211</v>
      </c>
      <c r="I84" s="1" t="s">
        <v>124</v>
      </c>
      <c r="J84" s="1" t="s">
        <v>125</v>
      </c>
      <c r="K84" s="1" t="s">
        <v>109</v>
      </c>
      <c r="L84" s="1">
        <v>2838295</v>
      </c>
      <c r="M84" s="1" t="s">
        <v>236</v>
      </c>
      <c r="N84" s="5">
        <f>DATE(2022,3,3)</f>
        <v>44623</v>
      </c>
      <c r="O84" s="5">
        <f>DATE(2025,2,28)</f>
        <v>45716</v>
      </c>
      <c r="P84" s="5">
        <f t="shared" si="20"/>
        <v>46811</v>
      </c>
      <c r="Q84" s="1">
        <v>1858</v>
      </c>
      <c r="R84" s="1">
        <v>1600</v>
      </c>
      <c r="S84" s="1">
        <f t="shared" si="21"/>
        <v>1600</v>
      </c>
      <c r="T84" s="1">
        <v>1</v>
      </c>
      <c r="U84" s="1" t="str">
        <f t="shared" si="22"/>
        <v>SIM</v>
      </c>
      <c r="V84" s="1">
        <f t="shared" si="23"/>
        <v>1094</v>
      </c>
      <c r="W84" s="4">
        <f t="shared" si="24"/>
        <v>1.4625228519195612</v>
      </c>
      <c r="X84" s="4">
        <f t="shared" si="25"/>
        <v>533.82084095063988</v>
      </c>
      <c r="Y84" s="4">
        <f t="shared" si="26"/>
        <v>0.6672760511882998</v>
      </c>
      <c r="AB84" s="5">
        <f t="shared" si="27"/>
        <v>45292</v>
      </c>
      <c r="AC84" s="5">
        <f t="shared" si="28"/>
        <v>45657</v>
      </c>
      <c r="AD84" s="1">
        <v>39</v>
      </c>
      <c r="AE84" s="1">
        <f t="shared" si="29"/>
        <v>366</v>
      </c>
      <c r="AF84" s="1">
        <f t="shared" si="30"/>
        <v>0</v>
      </c>
      <c r="AG84" s="1">
        <f t="shared" si="31"/>
        <v>0</v>
      </c>
      <c r="AH84" s="1">
        <f t="shared" si="32"/>
        <v>0</v>
      </c>
      <c r="AI84" s="1">
        <f t="shared" si="33"/>
        <v>0</v>
      </c>
      <c r="AJ84" s="3">
        <f t="shared" si="34"/>
        <v>1</v>
      </c>
      <c r="AK84" s="3">
        <f t="shared" si="35"/>
        <v>0.6672760511882998</v>
      </c>
      <c r="AL84" s="3">
        <f t="shared" si="36"/>
        <v>26.023765996343691</v>
      </c>
      <c r="AM84" s="3">
        <f t="shared" si="37"/>
        <v>26.023765996343691</v>
      </c>
      <c r="AN84" s="3">
        <f t="shared" si="38"/>
        <v>0</v>
      </c>
      <c r="AO84" s="3">
        <f t="shared" si="39"/>
        <v>26.023765996343691</v>
      </c>
      <c r="AP84" s="1" t="str">
        <f>INDEX({"EAD";"EAD";"EAD";"EAD MOOC";"EAD";"EAD";"EAD FP";"EAD";"PRESENCIAL";"PRESENCIAL";"PRESENCIAL";"PRESENCIAL"}, MATCH(CONCATENATE(E84, ".", F84),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5" spans="1:42" x14ac:dyDescent="0.25">
      <c r="A85" s="1" t="s">
        <v>27</v>
      </c>
      <c r="B85" s="1" t="s">
        <v>33</v>
      </c>
      <c r="C85" s="1" t="s">
        <v>29</v>
      </c>
      <c r="D85" s="1" t="s">
        <v>34</v>
      </c>
      <c r="E85" s="1" t="s">
        <v>120</v>
      </c>
      <c r="F85" s="1" t="s">
        <v>21</v>
      </c>
      <c r="G85" s="1" t="s">
        <v>128</v>
      </c>
      <c r="H85" s="1" t="s">
        <v>129</v>
      </c>
      <c r="I85" s="1" t="s">
        <v>124</v>
      </c>
      <c r="J85" s="1" t="s">
        <v>125</v>
      </c>
      <c r="K85" s="1" t="s">
        <v>130</v>
      </c>
      <c r="L85" s="1">
        <v>2838287</v>
      </c>
      <c r="M85" s="1" t="s">
        <v>237</v>
      </c>
      <c r="N85" s="5">
        <f>DATE(2022,4,4)</f>
        <v>44655</v>
      </c>
      <c r="O85" s="5">
        <f>DATE(2025,1,31)</f>
        <v>45688</v>
      </c>
      <c r="P85" s="5">
        <f t="shared" si="20"/>
        <v>46783</v>
      </c>
      <c r="Q85" s="1">
        <v>3670</v>
      </c>
      <c r="R85" s="1">
        <v>800</v>
      </c>
      <c r="S85" s="1">
        <f t="shared" si="21"/>
        <v>3000</v>
      </c>
      <c r="T85" s="1">
        <v>1.5</v>
      </c>
      <c r="U85" s="1" t="str">
        <f t="shared" si="22"/>
        <v>SIM</v>
      </c>
      <c r="V85" s="1">
        <f t="shared" si="23"/>
        <v>1034</v>
      </c>
      <c r="W85" s="4">
        <f t="shared" si="24"/>
        <v>2.9013539651837523</v>
      </c>
      <c r="X85" s="4">
        <f t="shared" si="25"/>
        <v>1058.9941972920697</v>
      </c>
      <c r="Y85" s="4">
        <f t="shared" si="26"/>
        <v>1.3237427466150871</v>
      </c>
      <c r="AB85" s="5">
        <f t="shared" si="27"/>
        <v>45292</v>
      </c>
      <c r="AC85" s="5">
        <f t="shared" si="28"/>
        <v>45657</v>
      </c>
      <c r="AD85" s="1">
        <v>33</v>
      </c>
      <c r="AE85" s="1">
        <f t="shared" si="29"/>
        <v>366</v>
      </c>
      <c r="AF85" s="1">
        <f t="shared" si="30"/>
        <v>0</v>
      </c>
      <c r="AG85" s="1">
        <f t="shared" si="31"/>
        <v>0</v>
      </c>
      <c r="AH85" s="1">
        <f t="shared" si="32"/>
        <v>0</v>
      </c>
      <c r="AI85" s="1">
        <f t="shared" si="33"/>
        <v>0</v>
      </c>
      <c r="AJ85" s="3">
        <f t="shared" si="34"/>
        <v>1</v>
      </c>
      <c r="AK85" s="3">
        <f t="shared" si="35"/>
        <v>1.3237427466150871</v>
      </c>
      <c r="AL85" s="3">
        <f t="shared" si="36"/>
        <v>43.683510638297875</v>
      </c>
      <c r="AM85" s="3">
        <f t="shared" si="37"/>
        <v>65.525265957446805</v>
      </c>
      <c r="AN85" s="3">
        <f t="shared" si="38"/>
        <v>0</v>
      </c>
      <c r="AO85" s="3">
        <f t="shared" si="39"/>
        <v>65.525265957446805</v>
      </c>
      <c r="AP85" s="1" t="str">
        <f>INDEX({"EAD";"EAD";"EAD";"EAD MOOC";"EAD";"EAD";"EAD FP";"EAD";"PRESENCIAL";"PRESENCIAL";"PRESENCIAL";"PRESENCIAL"}, MATCH(CONCATENATE(E85, ".", F85),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6" spans="1:42" x14ac:dyDescent="0.25">
      <c r="A86" s="1" t="s">
        <v>27</v>
      </c>
      <c r="B86" s="1" t="s">
        <v>33</v>
      </c>
      <c r="C86" s="1" t="s">
        <v>29</v>
      </c>
      <c r="D86" s="1" t="s">
        <v>34</v>
      </c>
      <c r="E86" s="1" t="s">
        <v>120</v>
      </c>
      <c r="F86" s="1" t="s">
        <v>21</v>
      </c>
      <c r="G86" s="1" t="s">
        <v>128</v>
      </c>
      <c r="H86" s="1" t="s">
        <v>132</v>
      </c>
      <c r="I86" s="1" t="s">
        <v>107</v>
      </c>
      <c r="J86" s="1" t="s">
        <v>108</v>
      </c>
      <c r="K86" s="1" t="s">
        <v>130</v>
      </c>
      <c r="L86" s="1">
        <v>2838290</v>
      </c>
      <c r="M86" s="1" t="s">
        <v>238</v>
      </c>
      <c r="N86" s="5">
        <f>DATE(2022,4,4)</f>
        <v>44655</v>
      </c>
      <c r="O86" s="5">
        <f>DATE(2025,1,31)</f>
        <v>45688</v>
      </c>
      <c r="P86" s="5">
        <f t="shared" si="20"/>
        <v>46783</v>
      </c>
      <c r="Q86" s="1">
        <v>3482</v>
      </c>
      <c r="R86" s="1">
        <v>1200</v>
      </c>
      <c r="S86" s="1">
        <f t="shared" si="21"/>
        <v>3200</v>
      </c>
      <c r="T86" s="1">
        <v>2.5</v>
      </c>
      <c r="U86" s="1" t="str">
        <f t="shared" si="22"/>
        <v>SIM</v>
      </c>
      <c r="V86" s="1">
        <f t="shared" si="23"/>
        <v>1034</v>
      </c>
      <c r="W86" s="4">
        <f t="shared" si="24"/>
        <v>3.094777562862669</v>
      </c>
      <c r="X86" s="4">
        <f t="shared" si="25"/>
        <v>1129.5938104448742</v>
      </c>
      <c r="Y86" s="4">
        <f t="shared" si="26"/>
        <v>1.4119922630560928</v>
      </c>
      <c r="AB86" s="5">
        <f t="shared" si="27"/>
        <v>45292</v>
      </c>
      <c r="AC86" s="5">
        <f t="shared" si="28"/>
        <v>45657</v>
      </c>
      <c r="AD86" s="1">
        <v>70</v>
      </c>
      <c r="AE86" s="1">
        <f t="shared" si="29"/>
        <v>366</v>
      </c>
      <c r="AF86" s="1">
        <f t="shared" si="30"/>
        <v>0</v>
      </c>
      <c r="AG86" s="1">
        <f t="shared" si="31"/>
        <v>0</v>
      </c>
      <c r="AH86" s="1">
        <f t="shared" si="32"/>
        <v>0</v>
      </c>
      <c r="AI86" s="1">
        <f t="shared" si="33"/>
        <v>0</v>
      </c>
      <c r="AJ86" s="3">
        <f t="shared" si="34"/>
        <v>1</v>
      </c>
      <c r="AK86" s="3">
        <f t="shared" si="35"/>
        <v>1.4119922630560928</v>
      </c>
      <c r="AL86" s="3">
        <f t="shared" si="36"/>
        <v>98.839458413926494</v>
      </c>
      <c r="AM86" s="3">
        <f t="shared" si="37"/>
        <v>247.09864603481623</v>
      </c>
      <c r="AN86" s="3">
        <f t="shared" si="38"/>
        <v>123.54932301740811</v>
      </c>
      <c r="AO86" s="3">
        <f t="shared" si="39"/>
        <v>370.64796905222431</v>
      </c>
      <c r="AP86" s="1" t="str">
        <f>INDEX({"EAD";"EAD";"EAD";"EAD MOOC";"EAD";"EAD";"EAD FP";"EAD";"PRESENCIAL";"PRESENCIAL";"PRESENCIAL";"PRESENCIAL"}, MATCH(CONCATENATE(E86, ".", F86),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7" spans="1:42" x14ac:dyDescent="0.25">
      <c r="A87" s="1" t="s">
        <v>27</v>
      </c>
      <c r="B87" s="1" t="s">
        <v>33</v>
      </c>
      <c r="C87" s="1" t="s">
        <v>29</v>
      </c>
      <c r="D87" s="1" t="s">
        <v>34</v>
      </c>
      <c r="E87" s="1" t="s">
        <v>120</v>
      </c>
      <c r="F87" s="1" t="s">
        <v>21</v>
      </c>
      <c r="G87" s="1" t="s">
        <v>128</v>
      </c>
      <c r="H87" s="1" t="s">
        <v>208</v>
      </c>
      <c r="I87" s="1" t="s">
        <v>209</v>
      </c>
      <c r="J87" s="1" t="s">
        <v>125</v>
      </c>
      <c r="K87" s="1" t="s">
        <v>130</v>
      </c>
      <c r="L87" s="1">
        <v>2838293</v>
      </c>
      <c r="M87" s="1" t="s">
        <v>239</v>
      </c>
      <c r="N87" s="5">
        <f>DATE(2022,4,4)</f>
        <v>44655</v>
      </c>
      <c r="O87" s="5">
        <f>DATE(2025,1,31)</f>
        <v>45688</v>
      </c>
      <c r="P87" s="5">
        <f t="shared" si="20"/>
        <v>46783</v>
      </c>
      <c r="Q87" s="1">
        <v>3672</v>
      </c>
      <c r="R87" s="1">
        <v>1200</v>
      </c>
      <c r="S87" s="1">
        <f t="shared" si="21"/>
        <v>3200</v>
      </c>
      <c r="T87" s="1">
        <v>1.5</v>
      </c>
      <c r="U87" s="1" t="str">
        <f t="shared" si="22"/>
        <v>SIM</v>
      </c>
      <c r="V87" s="1">
        <f t="shared" si="23"/>
        <v>1034</v>
      </c>
      <c r="W87" s="4">
        <f t="shared" si="24"/>
        <v>3.094777562862669</v>
      </c>
      <c r="X87" s="4">
        <f t="shared" si="25"/>
        <v>1129.5938104448742</v>
      </c>
      <c r="Y87" s="4">
        <f t="shared" si="26"/>
        <v>1.4119922630560928</v>
      </c>
      <c r="AB87" s="5">
        <f t="shared" si="27"/>
        <v>45292</v>
      </c>
      <c r="AC87" s="5">
        <f t="shared" si="28"/>
        <v>45657</v>
      </c>
      <c r="AD87" s="1">
        <v>59</v>
      </c>
      <c r="AE87" s="1">
        <f t="shared" si="29"/>
        <v>366</v>
      </c>
      <c r="AF87" s="1">
        <f t="shared" si="30"/>
        <v>0</v>
      </c>
      <c r="AG87" s="1">
        <f t="shared" si="31"/>
        <v>0</v>
      </c>
      <c r="AH87" s="1">
        <f t="shared" si="32"/>
        <v>0</v>
      </c>
      <c r="AI87" s="1">
        <f t="shared" si="33"/>
        <v>0</v>
      </c>
      <c r="AJ87" s="3">
        <f t="shared" si="34"/>
        <v>1</v>
      </c>
      <c r="AK87" s="3">
        <f t="shared" si="35"/>
        <v>1.4119922630560928</v>
      </c>
      <c r="AL87" s="3">
        <f t="shared" si="36"/>
        <v>83.30754352030948</v>
      </c>
      <c r="AM87" s="3">
        <f t="shared" si="37"/>
        <v>124.96131528046422</v>
      </c>
      <c r="AN87" s="3">
        <f t="shared" si="38"/>
        <v>0</v>
      </c>
      <c r="AO87" s="3">
        <f t="shared" si="39"/>
        <v>124.96131528046422</v>
      </c>
      <c r="AP87" s="1" t="str">
        <f>INDEX({"EAD";"EAD";"EAD";"EAD MOOC";"EAD";"EAD";"EAD FP";"EAD";"PRESENCIAL";"PRESENCIAL";"PRESENCIAL";"PRESENCIAL"}, MATCH(CONCATENATE(E87, ".", F87),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8" spans="1:42" x14ac:dyDescent="0.25">
      <c r="A88" s="1" t="s">
        <v>27</v>
      </c>
      <c r="B88" s="1" t="s">
        <v>33</v>
      </c>
      <c r="C88" s="1" t="s">
        <v>29</v>
      </c>
      <c r="D88" s="1" t="s">
        <v>34</v>
      </c>
      <c r="E88" s="1" t="s">
        <v>120</v>
      </c>
      <c r="F88" s="1" t="s">
        <v>21</v>
      </c>
      <c r="G88" s="1" t="s">
        <v>161</v>
      </c>
      <c r="H88" s="1" t="s">
        <v>240</v>
      </c>
      <c r="I88" s="1" t="s">
        <v>172</v>
      </c>
      <c r="J88" s="1" t="s">
        <v>125</v>
      </c>
      <c r="K88" s="1" t="s">
        <v>109</v>
      </c>
      <c r="L88" s="1">
        <v>2929052</v>
      </c>
      <c r="M88" s="1" t="s">
        <v>241</v>
      </c>
      <c r="N88" s="5">
        <f>DATE(2022,11,14)</f>
        <v>44879</v>
      </c>
      <c r="O88" s="5">
        <f>DATE(2023,4,7)</f>
        <v>45023</v>
      </c>
      <c r="P88" s="5">
        <f t="shared" si="20"/>
        <v>45023</v>
      </c>
      <c r="Q88" s="1">
        <v>80</v>
      </c>
      <c r="R88" s="1">
        <v>160</v>
      </c>
      <c r="S88" s="1">
        <f t="shared" si="21"/>
        <v>80</v>
      </c>
      <c r="T88" s="1">
        <v>1</v>
      </c>
      <c r="U88" s="1" t="str">
        <f t="shared" si="22"/>
        <v>NÃO</v>
      </c>
      <c r="V88" s="1">
        <f t="shared" si="23"/>
        <v>145</v>
      </c>
      <c r="W88" s="4">
        <f t="shared" si="24"/>
        <v>0.55172413793103448</v>
      </c>
      <c r="X88" s="4">
        <f t="shared" si="25"/>
        <v>80</v>
      </c>
      <c r="Y88" s="4">
        <f t="shared" si="26"/>
        <v>0.1</v>
      </c>
      <c r="AB88" s="5">
        <f t="shared" si="27"/>
        <v>45292</v>
      </c>
      <c r="AC88" s="5">
        <f t="shared" si="28"/>
        <v>45657</v>
      </c>
      <c r="AD88" s="1">
        <v>7</v>
      </c>
      <c r="AE88" s="1">
        <f t="shared" si="29"/>
        <v>0</v>
      </c>
      <c r="AF88" s="1">
        <f t="shared" si="30"/>
        <v>0</v>
      </c>
      <c r="AG88" s="1">
        <f t="shared" si="31"/>
        <v>0</v>
      </c>
      <c r="AH88" s="1">
        <f t="shared" si="32"/>
        <v>0</v>
      </c>
      <c r="AI88" s="1">
        <f t="shared" si="33"/>
        <v>183</v>
      </c>
      <c r="AJ88" s="3">
        <f t="shared" si="34"/>
        <v>1.2620689655172415</v>
      </c>
      <c r="AK88" s="3">
        <f t="shared" si="35"/>
        <v>0.12620689655172415</v>
      </c>
      <c r="AL88" s="3">
        <f t="shared" si="36"/>
        <v>0</v>
      </c>
      <c r="AM88" s="3">
        <f t="shared" si="37"/>
        <v>0</v>
      </c>
      <c r="AN88" s="3">
        <f t="shared" si="38"/>
        <v>0</v>
      </c>
      <c r="AO88" s="3">
        <f t="shared" si="39"/>
        <v>0</v>
      </c>
      <c r="AP88" s="1" t="str">
        <f>INDEX({"EAD";"EAD";"EAD";"EAD MOOC";"EAD";"EAD";"EAD FP";"EAD";"PRESENCIAL";"PRESENCIAL";"PRESENCIAL";"PRESENCIAL"}, MATCH(CONCATENATE(E88, ".", F88),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9" spans="1:42" x14ac:dyDescent="0.25">
      <c r="A89" s="1" t="s">
        <v>27</v>
      </c>
      <c r="B89" s="1" t="s">
        <v>33</v>
      </c>
      <c r="C89" s="1" t="s">
        <v>29</v>
      </c>
      <c r="D89" s="1" t="s">
        <v>34</v>
      </c>
      <c r="E89" s="1" t="s">
        <v>120</v>
      </c>
      <c r="F89" s="1" t="s">
        <v>21</v>
      </c>
      <c r="G89" s="1" t="s">
        <v>140</v>
      </c>
      <c r="H89" s="1" t="s">
        <v>211</v>
      </c>
      <c r="I89" s="1" t="s">
        <v>124</v>
      </c>
      <c r="J89" s="1" t="s">
        <v>125</v>
      </c>
      <c r="K89" s="1" t="s">
        <v>109</v>
      </c>
      <c r="L89" s="1">
        <v>2947613</v>
      </c>
      <c r="M89" s="1" t="s">
        <v>242</v>
      </c>
      <c r="N89" s="5">
        <f>DATE(2023,2,6)</f>
        <v>44963</v>
      </c>
      <c r="O89" s="5">
        <f>DATE(2025,12,19)</f>
        <v>46010</v>
      </c>
      <c r="P89" s="5">
        <f t="shared" si="20"/>
        <v>47105</v>
      </c>
      <c r="Q89" s="1">
        <v>1858</v>
      </c>
      <c r="R89" s="1">
        <v>1600</v>
      </c>
      <c r="S89" s="1">
        <f t="shared" si="21"/>
        <v>1600</v>
      </c>
      <c r="T89" s="1">
        <v>1</v>
      </c>
      <c r="U89" s="1" t="str">
        <f t="shared" si="22"/>
        <v>SIM</v>
      </c>
      <c r="V89" s="1">
        <f t="shared" si="23"/>
        <v>1048</v>
      </c>
      <c r="W89" s="4">
        <f t="shared" si="24"/>
        <v>1.5267175572519085</v>
      </c>
      <c r="X89" s="4">
        <f t="shared" si="25"/>
        <v>557.25190839694665</v>
      </c>
      <c r="Y89" s="4">
        <f t="shared" si="26"/>
        <v>0.69656488549618334</v>
      </c>
      <c r="AB89" s="5">
        <f t="shared" si="27"/>
        <v>45292</v>
      </c>
      <c r="AC89" s="5">
        <f t="shared" si="28"/>
        <v>45657</v>
      </c>
      <c r="AD89" s="1">
        <v>38</v>
      </c>
      <c r="AE89" s="1">
        <f t="shared" si="29"/>
        <v>366</v>
      </c>
      <c r="AF89" s="1">
        <f t="shared" si="30"/>
        <v>0</v>
      </c>
      <c r="AG89" s="1">
        <f t="shared" si="31"/>
        <v>0</v>
      </c>
      <c r="AH89" s="1">
        <f t="shared" si="32"/>
        <v>0</v>
      </c>
      <c r="AI89" s="1">
        <f t="shared" si="33"/>
        <v>0</v>
      </c>
      <c r="AJ89" s="3">
        <f t="shared" si="34"/>
        <v>1</v>
      </c>
      <c r="AK89" s="3">
        <f t="shared" si="35"/>
        <v>0.69656488549618334</v>
      </c>
      <c r="AL89" s="3">
        <f t="shared" si="36"/>
        <v>26.469465648854968</v>
      </c>
      <c r="AM89" s="3">
        <f t="shared" si="37"/>
        <v>26.469465648854968</v>
      </c>
      <c r="AN89" s="3">
        <f t="shared" si="38"/>
        <v>0</v>
      </c>
      <c r="AO89" s="3">
        <f t="shared" si="39"/>
        <v>26.469465648854968</v>
      </c>
      <c r="AP89" s="1" t="str">
        <f>INDEX({"EAD";"EAD";"EAD";"EAD MOOC";"EAD";"EAD";"EAD FP";"EAD";"PRESENCIAL";"PRESENCIAL";"PRESENCIAL";"PRESENCIAL"}, MATCH(CONCATENATE(E89, ".", F89),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0" spans="1:42" x14ac:dyDescent="0.25">
      <c r="A90" s="1" t="s">
        <v>27</v>
      </c>
      <c r="B90" s="1" t="s">
        <v>33</v>
      </c>
      <c r="C90" s="1" t="s">
        <v>29</v>
      </c>
      <c r="D90" s="1" t="s">
        <v>34</v>
      </c>
      <c r="E90" s="1" t="s">
        <v>120</v>
      </c>
      <c r="F90" s="1" t="s">
        <v>21</v>
      </c>
      <c r="G90" s="1" t="s">
        <v>128</v>
      </c>
      <c r="H90" s="1" t="s">
        <v>129</v>
      </c>
      <c r="I90" s="1" t="s">
        <v>124</v>
      </c>
      <c r="J90" s="1" t="s">
        <v>125</v>
      </c>
      <c r="K90" s="1" t="s">
        <v>130</v>
      </c>
      <c r="L90" s="1">
        <v>2973323</v>
      </c>
      <c r="M90" s="1" t="s">
        <v>243</v>
      </c>
      <c r="N90" s="5">
        <f>DATE(2023,3,20)</f>
        <v>45005</v>
      </c>
      <c r="O90" s="5">
        <f>DATE(2026,2,15)</f>
        <v>46068</v>
      </c>
      <c r="P90" s="5">
        <f t="shared" si="20"/>
        <v>47163</v>
      </c>
      <c r="Q90" s="1">
        <v>3670</v>
      </c>
      <c r="R90" s="1">
        <v>800</v>
      </c>
      <c r="S90" s="1">
        <f t="shared" si="21"/>
        <v>3000</v>
      </c>
      <c r="T90" s="1">
        <v>1.5</v>
      </c>
      <c r="U90" s="1" t="str">
        <f t="shared" si="22"/>
        <v>SIM</v>
      </c>
      <c r="V90" s="1">
        <f t="shared" si="23"/>
        <v>1064</v>
      </c>
      <c r="W90" s="4">
        <f t="shared" si="24"/>
        <v>2.8195488721804511</v>
      </c>
      <c r="X90" s="4">
        <f t="shared" si="25"/>
        <v>1029.1353383458647</v>
      </c>
      <c r="Y90" s="4">
        <f t="shared" si="26"/>
        <v>1.2864191729323309</v>
      </c>
      <c r="AB90" s="5">
        <f t="shared" si="27"/>
        <v>45292</v>
      </c>
      <c r="AC90" s="5">
        <f t="shared" si="28"/>
        <v>45657</v>
      </c>
      <c r="AD90" s="1">
        <v>34</v>
      </c>
      <c r="AE90" s="1">
        <f t="shared" si="29"/>
        <v>366</v>
      </c>
      <c r="AF90" s="1">
        <f t="shared" si="30"/>
        <v>0</v>
      </c>
      <c r="AG90" s="1">
        <f t="shared" si="31"/>
        <v>0</v>
      </c>
      <c r="AH90" s="1">
        <f t="shared" si="32"/>
        <v>0</v>
      </c>
      <c r="AI90" s="1">
        <f t="shared" si="33"/>
        <v>0</v>
      </c>
      <c r="AJ90" s="3">
        <f t="shared" si="34"/>
        <v>1</v>
      </c>
      <c r="AK90" s="3">
        <f t="shared" si="35"/>
        <v>1.2864191729323309</v>
      </c>
      <c r="AL90" s="3">
        <f t="shared" si="36"/>
        <v>43.738251879699249</v>
      </c>
      <c r="AM90" s="3">
        <f t="shared" si="37"/>
        <v>65.607377819548873</v>
      </c>
      <c r="AN90" s="3">
        <f t="shared" si="38"/>
        <v>0</v>
      </c>
      <c r="AO90" s="3">
        <f t="shared" si="39"/>
        <v>65.607377819548873</v>
      </c>
      <c r="AP90" s="1" t="str">
        <f>INDEX({"EAD";"EAD";"EAD";"EAD MOOC";"EAD";"EAD";"EAD FP";"EAD";"PRESENCIAL";"PRESENCIAL";"PRESENCIAL";"PRESENCIAL"}, MATCH(CONCATENATE(E90, ".", F90),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1" spans="1:42" x14ac:dyDescent="0.25">
      <c r="A91" s="1" t="s">
        <v>27</v>
      </c>
      <c r="B91" s="1" t="s">
        <v>33</v>
      </c>
      <c r="C91" s="1" t="s">
        <v>29</v>
      </c>
      <c r="D91" s="1" t="s">
        <v>34</v>
      </c>
      <c r="E91" s="1" t="s">
        <v>120</v>
      </c>
      <c r="F91" s="1" t="s">
        <v>21</v>
      </c>
      <c r="G91" s="1" t="s">
        <v>128</v>
      </c>
      <c r="H91" s="1" t="s">
        <v>132</v>
      </c>
      <c r="I91" s="1" t="s">
        <v>107</v>
      </c>
      <c r="J91" s="1" t="s">
        <v>108</v>
      </c>
      <c r="K91" s="1" t="s">
        <v>130</v>
      </c>
      <c r="L91" s="1">
        <v>2973337</v>
      </c>
      <c r="M91" s="1" t="s">
        <v>244</v>
      </c>
      <c r="N91" s="5">
        <f>DATE(2023,3,20)</f>
        <v>45005</v>
      </c>
      <c r="O91" s="5">
        <f>DATE(2026,2,15)</f>
        <v>46068</v>
      </c>
      <c r="P91" s="5">
        <f t="shared" si="20"/>
        <v>47163</v>
      </c>
      <c r="Q91" s="1">
        <v>3482</v>
      </c>
      <c r="R91" s="1">
        <v>1200</v>
      </c>
      <c r="S91" s="1">
        <f t="shared" si="21"/>
        <v>3200</v>
      </c>
      <c r="T91" s="1">
        <v>2.5</v>
      </c>
      <c r="U91" s="1" t="str">
        <f t="shared" si="22"/>
        <v>SIM</v>
      </c>
      <c r="V91" s="1">
        <f t="shared" si="23"/>
        <v>1064</v>
      </c>
      <c r="W91" s="4">
        <f t="shared" si="24"/>
        <v>3.007518796992481</v>
      </c>
      <c r="X91" s="4">
        <f t="shared" si="25"/>
        <v>1097.7443609022555</v>
      </c>
      <c r="Y91" s="4">
        <f t="shared" si="26"/>
        <v>1.3721804511278193</v>
      </c>
      <c r="AB91" s="5">
        <f t="shared" si="27"/>
        <v>45292</v>
      </c>
      <c r="AC91" s="5">
        <f t="shared" si="28"/>
        <v>45657</v>
      </c>
      <c r="AD91" s="1">
        <v>70</v>
      </c>
      <c r="AE91" s="1">
        <f t="shared" si="29"/>
        <v>366</v>
      </c>
      <c r="AF91" s="1">
        <f t="shared" si="30"/>
        <v>0</v>
      </c>
      <c r="AG91" s="1">
        <f t="shared" si="31"/>
        <v>0</v>
      </c>
      <c r="AH91" s="1">
        <f t="shared" si="32"/>
        <v>0</v>
      </c>
      <c r="AI91" s="1">
        <f t="shared" si="33"/>
        <v>0</v>
      </c>
      <c r="AJ91" s="3">
        <f t="shared" si="34"/>
        <v>1</v>
      </c>
      <c r="AK91" s="3">
        <f t="shared" si="35"/>
        <v>1.3721804511278193</v>
      </c>
      <c r="AL91" s="3">
        <f t="shared" si="36"/>
        <v>96.052631578947356</v>
      </c>
      <c r="AM91" s="3">
        <f t="shared" si="37"/>
        <v>240.13157894736838</v>
      </c>
      <c r="AN91" s="3">
        <f t="shared" si="38"/>
        <v>120.06578947368419</v>
      </c>
      <c r="AO91" s="3">
        <f t="shared" si="39"/>
        <v>360.1973684210526</v>
      </c>
      <c r="AP91" s="1" t="str">
        <f>INDEX({"EAD";"EAD";"EAD";"EAD MOOC";"EAD";"EAD";"EAD FP";"EAD";"PRESENCIAL";"PRESENCIAL";"PRESENCIAL";"PRESENCIAL"}, MATCH(CONCATENATE(E91, ".", F91),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2" spans="1:42" x14ac:dyDescent="0.25">
      <c r="A92" s="1" t="s">
        <v>27</v>
      </c>
      <c r="B92" s="1" t="s">
        <v>33</v>
      </c>
      <c r="C92" s="1" t="s">
        <v>29</v>
      </c>
      <c r="D92" s="1" t="s">
        <v>34</v>
      </c>
      <c r="E92" s="1" t="s">
        <v>120</v>
      </c>
      <c r="F92" s="1" t="s">
        <v>21</v>
      </c>
      <c r="G92" s="1" t="s">
        <v>128</v>
      </c>
      <c r="H92" s="1" t="s">
        <v>208</v>
      </c>
      <c r="I92" s="1" t="s">
        <v>209</v>
      </c>
      <c r="J92" s="1" t="s">
        <v>125</v>
      </c>
      <c r="K92" s="1" t="s">
        <v>130</v>
      </c>
      <c r="L92" s="1">
        <v>2973356</v>
      </c>
      <c r="M92" s="1" t="s">
        <v>245</v>
      </c>
      <c r="N92" s="5">
        <f>DATE(2023,3,20)</f>
        <v>45005</v>
      </c>
      <c r="O92" s="5">
        <f>DATE(2026,2,15)</f>
        <v>46068</v>
      </c>
      <c r="P92" s="5">
        <f t="shared" si="20"/>
        <v>47163</v>
      </c>
      <c r="Q92" s="1">
        <v>3772</v>
      </c>
      <c r="R92" s="1">
        <v>1200</v>
      </c>
      <c r="S92" s="1">
        <f t="shared" si="21"/>
        <v>3200</v>
      </c>
      <c r="T92" s="1">
        <v>1.5</v>
      </c>
      <c r="U92" s="1" t="str">
        <f t="shared" si="22"/>
        <v>SIM</v>
      </c>
      <c r="V92" s="1">
        <f t="shared" si="23"/>
        <v>1064</v>
      </c>
      <c r="W92" s="4">
        <f t="shared" si="24"/>
        <v>3.007518796992481</v>
      </c>
      <c r="X92" s="4">
        <f t="shared" si="25"/>
        <v>1097.7443609022555</v>
      </c>
      <c r="Y92" s="4">
        <f t="shared" si="26"/>
        <v>1.3721804511278193</v>
      </c>
      <c r="AB92" s="5">
        <f t="shared" si="27"/>
        <v>45292</v>
      </c>
      <c r="AC92" s="5">
        <f t="shared" si="28"/>
        <v>45657</v>
      </c>
      <c r="AD92" s="1">
        <v>66</v>
      </c>
      <c r="AE92" s="1">
        <f t="shared" si="29"/>
        <v>366</v>
      </c>
      <c r="AF92" s="1">
        <f t="shared" si="30"/>
        <v>0</v>
      </c>
      <c r="AG92" s="1">
        <f t="shared" si="31"/>
        <v>0</v>
      </c>
      <c r="AH92" s="1">
        <f t="shared" si="32"/>
        <v>0</v>
      </c>
      <c r="AI92" s="1">
        <f t="shared" si="33"/>
        <v>0</v>
      </c>
      <c r="AJ92" s="3">
        <f t="shared" si="34"/>
        <v>1</v>
      </c>
      <c r="AK92" s="3">
        <f t="shared" si="35"/>
        <v>1.3721804511278193</v>
      </c>
      <c r="AL92" s="3">
        <f t="shared" si="36"/>
        <v>90.56390977443607</v>
      </c>
      <c r="AM92" s="3">
        <f t="shared" si="37"/>
        <v>135.8458646616541</v>
      </c>
      <c r="AN92" s="3">
        <f t="shared" si="38"/>
        <v>0</v>
      </c>
      <c r="AO92" s="3">
        <f t="shared" si="39"/>
        <v>135.8458646616541</v>
      </c>
      <c r="AP92" s="1" t="str">
        <f>INDEX({"EAD";"EAD";"EAD";"EAD MOOC";"EAD";"EAD";"EAD FP";"EAD";"PRESENCIAL";"PRESENCIAL";"PRESENCIAL";"PRESENCIAL"}, MATCH(CONCATENATE(E92, ".", F92),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3" spans="1:42" x14ac:dyDescent="0.25">
      <c r="A93" s="1" t="s">
        <v>27</v>
      </c>
      <c r="B93" s="1" t="s">
        <v>33</v>
      </c>
      <c r="C93" s="1" t="s">
        <v>29</v>
      </c>
      <c r="D93" s="1" t="s">
        <v>34</v>
      </c>
      <c r="E93" s="1" t="s">
        <v>170</v>
      </c>
      <c r="F93" s="1" t="s">
        <v>21</v>
      </c>
      <c r="G93" s="1" t="s">
        <v>128</v>
      </c>
      <c r="H93" s="1" t="s">
        <v>174</v>
      </c>
      <c r="I93" s="1" t="s">
        <v>172</v>
      </c>
      <c r="J93" s="1" t="s">
        <v>125</v>
      </c>
      <c r="K93" s="1" t="s">
        <v>163</v>
      </c>
      <c r="L93" s="1">
        <v>2973455</v>
      </c>
      <c r="M93" s="1" t="s">
        <v>246</v>
      </c>
      <c r="N93" s="5">
        <f>DATE(2023,4,1)</f>
        <v>45017</v>
      </c>
      <c r="O93" s="5">
        <f>DATE(2024,10,4)</f>
        <v>45569</v>
      </c>
      <c r="P93" s="5">
        <f t="shared" si="20"/>
        <v>46664</v>
      </c>
      <c r="Q93" s="1">
        <v>1200</v>
      </c>
      <c r="R93" s="1">
        <v>1200</v>
      </c>
      <c r="S93" s="1">
        <f t="shared" si="21"/>
        <v>1200</v>
      </c>
      <c r="T93" s="1">
        <v>1</v>
      </c>
      <c r="U93" s="1" t="str">
        <f t="shared" si="22"/>
        <v>SIM</v>
      </c>
      <c r="V93" s="1">
        <f t="shared" si="23"/>
        <v>553</v>
      </c>
      <c r="W93" s="4">
        <f t="shared" si="24"/>
        <v>2.1699819168173597</v>
      </c>
      <c r="X93" s="4">
        <f t="shared" si="25"/>
        <v>792.04339963833627</v>
      </c>
      <c r="Y93" s="4">
        <f t="shared" si="26"/>
        <v>0.99005424954792032</v>
      </c>
      <c r="AB93" s="5">
        <f t="shared" si="27"/>
        <v>45292</v>
      </c>
      <c r="AC93" s="5">
        <f t="shared" si="28"/>
        <v>45657</v>
      </c>
      <c r="AD93" s="1">
        <v>37</v>
      </c>
      <c r="AE93" s="1">
        <f t="shared" si="29"/>
        <v>0</v>
      </c>
      <c r="AF93" s="1">
        <f t="shared" si="30"/>
        <v>0</v>
      </c>
      <c r="AG93" s="1">
        <f t="shared" si="31"/>
        <v>278</v>
      </c>
      <c r="AH93" s="1">
        <f t="shared" si="32"/>
        <v>0</v>
      </c>
      <c r="AI93" s="1">
        <f t="shared" si="33"/>
        <v>0</v>
      </c>
      <c r="AJ93" s="3">
        <f t="shared" si="34"/>
        <v>0.7595628415300546</v>
      </c>
      <c r="AK93" s="3">
        <f t="shared" si="35"/>
        <v>0.75200841905552418</v>
      </c>
      <c r="AL93" s="3">
        <f t="shared" si="36"/>
        <v>27.824311505054396</v>
      </c>
      <c r="AM93" s="3">
        <f t="shared" si="37"/>
        <v>27.824311505054396</v>
      </c>
      <c r="AN93" s="3">
        <f t="shared" si="38"/>
        <v>0</v>
      </c>
      <c r="AO93" s="3">
        <f t="shared" si="39"/>
        <v>27.824311505054396</v>
      </c>
      <c r="AP93" s="1" t="str">
        <f>INDEX({"EAD";"EAD";"EAD";"EAD MOOC";"EAD";"EAD";"EAD FP";"EAD";"PRESENCIAL";"PRESENCIAL";"PRESENCIAL";"PRESENCIAL"}, MATCH(CONCATENATE(E93, ".", F93),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94" spans="1:42" x14ac:dyDescent="0.25">
      <c r="A94" s="1" t="s">
        <v>27</v>
      </c>
      <c r="B94" s="1" t="s">
        <v>33</v>
      </c>
      <c r="C94" s="1" t="s">
        <v>29</v>
      </c>
      <c r="D94" s="1" t="s">
        <v>34</v>
      </c>
      <c r="E94" s="1" t="s">
        <v>170</v>
      </c>
      <c r="F94" s="1" t="s">
        <v>21</v>
      </c>
      <c r="G94" s="1" t="s">
        <v>128</v>
      </c>
      <c r="H94" s="1" t="s">
        <v>171</v>
      </c>
      <c r="I94" s="1" t="s">
        <v>172</v>
      </c>
      <c r="J94" s="1" t="s">
        <v>125</v>
      </c>
      <c r="K94" s="1" t="s">
        <v>163</v>
      </c>
      <c r="L94" s="1">
        <v>2973458</v>
      </c>
      <c r="M94" s="1" t="s">
        <v>247</v>
      </c>
      <c r="N94" s="5">
        <f>DATE(2023,4,1)</f>
        <v>45017</v>
      </c>
      <c r="O94" s="5">
        <f>DATE(2024,10,4)</f>
        <v>45569</v>
      </c>
      <c r="P94" s="5">
        <f t="shared" si="20"/>
        <v>46664</v>
      </c>
      <c r="Q94" s="1">
        <v>1200</v>
      </c>
      <c r="R94" s="1">
        <v>1200</v>
      </c>
      <c r="S94" s="1">
        <f t="shared" si="21"/>
        <v>1200</v>
      </c>
      <c r="T94" s="1">
        <v>2</v>
      </c>
      <c r="U94" s="1" t="str">
        <f t="shared" si="22"/>
        <v>SIM</v>
      </c>
      <c r="V94" s="1">
        <f t="shared" si="23"/>
        <v>553</v>
      </c>
      <c r="W94" s="4">
        <f t="shared" si="24"/>
        <v>2.1699819168173597</v>
      </c>
      <c r="X94" s="4">
        <f t="shared" si="25"/>
        <v>792.04339963833627</v>
      </c>
      <c r="Y94" s="4">
        <f t="shared" si="26"/>
        <v>0.99005424954792032</v>
      </c>
      <c r="AB94" s="5">
        <f t="shared" si="27"/>
        <v>45292</v>
      </c>
      <c r="AC94" s="5">
        <f t="shared" si="28"/>
        <v>45657</v>
      </c>
      <c r="AD94" s="1">
        <v>15</v>
      </c>
      <c r="AE94" s="1">
        <f t="shared" si="29"/>
        <v>0</v>
      </c>
      <c r="AF94" s="1">
        <f t="shared" si="30"/>
        <v>0</v>
      </c>
      <c r="AG94" s="1">
        <f t="shared" si="31"/>
        <v>278</v>
      </c>
      <c r="AH94" s="1">
        <f t="shared" si="32"/>
        <v>0</v>
      </c>
      <c r="AI94" s="1">
        <f t="shared" si="33"/>
        <v>0</v>
      </c>
      <c r="AJ94" s="3">
        <f t="shared" si="34"/>
        <v>0.7595628415300546</v>
      </c>
      <c r="AK94" s="3">
        <f t="shared" si="35"/>
        <v>0.75200841905552418</v>
      </c>
      <c r="AL94" s="3">
        <f t="shared" si="36"/>
        <v>11.280126285832862</v>
      </c>
      <c r="AM94" s="3">
        <f t="shared" si="37"/>
        <v>22.560252571665725</v>
      </c>
      <c r="AN94" s="3">
        <f t="shared" si="38"/>
        <v>0</v>
      </c>
      <c r="AO94" s="3">
        <f t="shared" si="39"/>
        <v>22.560252571665725</v>
      </c>
      <c r="AP94" s="1" t="str">
        <f>INDEX({"EAD";"EAD";"EAD";"EAD MOOC";"EAD";"EAD";"EAD FP";"EAD";"PRESENCIAL";"PRESENCIAL";"PRESENCIAL";"PRESENCIAL"}, MATCH(CONCATENATE(E94, ".", F94),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95" spans="1:42" x14ac:dyDescent="0.25">
      <c r="A95" s="1" t="s">
        <v>27</v>
      </c>
      <c r="B95" s="1" t="s">
        <v>33</v>
      </c>
      <c r="C95" s="1" t="s">
        <v>29</v>
      </c>
      <c r="D95" s="1" t="s">
        <v>34</v>
      </c>
      <c r="E95" s="1" t="s">
        <v>170</v>
      </c>
      <c r="F95" s="1" t="s">
        <v>21</v>
      </c>
      <c r="G95" s="1" t="s">
        <v>128</v>
      </c>
      <c r="H95" s="1" t="s">
        <v>176</v>
      </c>
      <c r="I95" s="1" t="s">
        <v>172</v>
      </c>
      <c r="J95" s="1" t="s">
        <v>125</v>
      </c>
      <c r="K95" s="1" t="s">
        <v>163</v>
      </c>
      <c r="L95" s="1">
        <v>2974426</v>
      </c>
      <c r="M95" s="1" t="s">
        <v>248</v>
      </c>
      <c r="N95" s="5">
        <f>DATE(2023,4,1)</f>
        <v>45017</v>
      </c>
      <c r="O95" s="5">
        <f>DATE(2024,10,4)</f>
        <v>45569</v>
      </c>
      <c r="P95" s="5">
        <f t="shared" si="20"/>
        <v>46664</v>
      </c>
      <c r="Q95" s="1">
        <v>1200</v>
      </c>
      <c r="R95" s="1">
        <v>800</v>
      </c>
      <c r="S95" s="1">
        <f t="shared" si="21"/>
        <v>800</v>
      </c>
      <c r="T95" s="1">
        <v>1.5</v>
      </c>
      <c r="U95" s="1" t="str">
        <f t="shared" si="22"/>
        <v>SIM</v>
      </c>
      <c r="V95" s="1">
        <f t="shared" si="23"/>
        <v>553</v>
      </c>
      <c r="W95" s="4">
        <f t="shared" si="24"/>
        <v>1.4466546112115732</v>
      </c>
      <c r="X95" s="4">
        <f t="shared" si="25"/>
        <v>528.02893309222418</v>
      </c>
      <c r="Y95" s="4">
        <f t="shared" si="26"/>
        <v>0.66003616636528017</v>
      </c>
      <c r="AB95" s="5">
        <f t="shared" si="27"/>
        <v>45292</v>
      </c>
      <c r="AC95" s="5">
        <f t="shared" si="28"/>
        <v>45657</v>
      </c>
      <c r="AD95" s="1">
        <v>23</v>
      </c>
      <c r="AE95" s="1">
        <f t="shared" si="29"/>
        <v>0</v>
      </c>
      <c r="AF95" s="1">
        <f t="shared" si="30"/>
        <v>0</v>
      </c>
      <c r="AG95" s="1">
        <f t="shared" si="31"/>
        <v>278</v>
      </c>
      <c r="AH95" s="1">
        <f t="shared" si="32"/>
        <v>0</v>
      </c>
      <c r="AI95" s="1">
        <f t="shared" si="33"/>
        <v>0</v>
      </c>
      <c r="AJ95" s="3">
        <f t="shared" si="34"/>
        <v>0.7595628415300546</v>
      </c>
      <c r="AK95" s="3">
        <f t="shared" si="35"/>
        <v>0.50133894603701601</v>
      </c>
      <c r="AL95" s="3">
        <f t="shared" si="36"/>
        <v>11.530795758851369</v>
      </c>
      <c r="AM95" s="3">
        <f t="shared" si="37"/>
        <v>17.296193638277053</v>
      </c>
      <c r="AN95" s="3">
        <f t="shared" si="38"/>
        <v>0</v>
      </c>
      <c r="AO95" s="3">
        <f t="shared" si="39"/>
        <v>17.296193638277053</v>
      </c>
      <c r="AP95" s="1" t="str">
        <f>INDEX({"EAD";"EAD";"EAD";"EAD MOOC";"EAD";"EAD";"EAD FP";"EAD";"PRESENCIAL";"PRESENCIAL";"PRESENCIAL";"PRESENCIAL"}, MATCH(CONCATENATE(E95, ".", F95),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96" spans="1:42" x14ac:dyDescent="0.25">
      <c r="A96" s="1" t="s">
        <v>27</v>
      </c>
      <c r="B96" s="1" t="s">
        <v>33</v>
      </c>
      <c r="C96" s="1" t="s">
        <v>29</v>
      </c>
      <c r="D96" s="1" t="s">
        <v>34</v>
      </c>
      <c r="E96" s="1" t="s">
        <v>120</v>
      </c>
      <c r="F96" s="1" t="s">
        <v>21</v>
      </c>
      <c r="G96" s="1" t="s">
        <v>121</v>
      </c>
      <c r="H96" s="1" t="s">
        <v>123</v>
      </c>
      <c r="I96" s="1" t="s">
        <v>124</v>
      </c>
      <c r="J96" s="1" t="s">
        <v>125</v>
      </c>
      <c r="K96" s="1" t="s">
        <v>109</v>
      </c>
      <c r="L96" s="1">
        <v>3082734</v>
      </c>
      <c r="M96" s="1" t="s">
        <v>249</v>
      </c>
      <c r="N96" s="5">
        <f>DATE(2024,3,4)</f>
        <v>45355</v>
      </c>
      <c r="O96" s="5">
        <f>DATE(2028,3,8)</f>
        <v>46820</v>
      </c>
      <c r="P96" s="5">
        <f t="shared" si="20"/>
        <v>47915</v>
      </c>
      <c r="Q96" s="1">
        <v>3010</v>
      </c>
      <c r="R96" s="1">
        <v>3000</v>
      </c>
      <c r="S96" s="1">
        <f t="shared" si="21"/>
        <v>3000</v>
      </c>
      <c r="T96" s="1">
        <v>1</v>
      </c>
      <c r="U96" s="1" t="str">
        <f t="shared" si="22"/>
        <v>SIM</v>
      </c>
      <c r="V96" s="1">
        <f t="shared" si="23"/>
        <v>1466</v>
      </c>
      <c r="W96" s="4">
        <f t="shared" si="24"/>
        <v>2.0463847203274215</v>
      </c>
      <c r="X96" s="4">
        <f t="shared" si="25"/>
        <v>746.93042291950883</v>
      </c>
      <c r="Y96" s="4">
        <f t="shared" si="26"/>
        <v>0.933663028649386</v>
      </c>
      <c r="AB96" s="5">
        <f t="shared" si="27"/>
        <v>45292</v>
      </c>
      <c r="AC96" s="5">
        <f t="shared" si="28"/>
        <v>45657</v>
      </c>
      <c r="AD96" s="1">
        <v>40</v>
      </c>
      <c r="AE96" s="1">
        <f t="shared" si="29"/>
        <v>0</v>
      </c>
      <c r="AF96" s="1">
        <f t="shared" si="30"/>
        <v>303</v>
      </c>
      <c r="AG96" s="1">
        <f t="shared" si="31"/>
        <v>0</v>
      </c>
      <c r="AH96" s="1">
        <f t="shared" si="32"/>
        <v>0</v>
      </c>
      <c r="AI96" s="1">
        <f t="shared" si="33"/>
        <v>0</v>
      </c>
      <c r="AJ96" s="3">
        <f t="shared" si="34"/>
        <v>0.82786885245901642</v>
      </c>
      <c r="AK96" s="3">
        <f t="shared" si="35"/>
        <v>0.77295054011137698</v>
      </c>
      <c r="AL96" s="3">
        <f t="shared" si="36"/>
        <v>30.918021604455078</v>
      </c>
      <c r="AM96" s="3">
        <f t="shared" si="37"/>
        <v>30.918021604455078</v>
      </c>
      <c r="AN96" s="3">
        <f t="shared" si="38"/>
        <v>0</v>
      </c>
      <c r="AO96" s="3">
        <f t="shared" si="39"/>
        <v>30.918021604455078</v>
      </c>
      <c r="AP96" s="1" t="str">
        <f>INDEX({"EAD";"EAD";"EAD";"EAD MOOC";"EAD";"EAD";"EAD FP";"EAD";"PRESENCIAL";"PRESENCIAL";"PRESENCIAL";"PRESENCIAL"}, MATCH(CONCATENATE(E96, ".", F96),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7" spans="1:42" x14ac:dyDescent="0.25">
      <c r="A97" s="1" t="s">
        <v>27</v>
      </c>
      <c r="B97" s="1" t="s">
        <v>33</v>
      </c>
      <c r="C97" s="1" t="s">
        <v>29</v>
      </c>
      <c r="D97" s="1" t="s">
        <v>34</v>
      </c>
      <c r="E97" s="1" t="s">
        <v>120</v>
      </c>
      <c r="F97" s="1" t="s">
        <v>21</v>
      </c>
      <c r="G97" s="1" t="s">
        <v>121</v>
      </c>
      <c r="H97" s="1" t="s">
        <v>106</v>
      </c>
      <c r="I97" s="1" t="s">
        <v>107</v>
      </c>
      <c r="J97" s="1" t="s">
        <v>108</v>
      </c>
      <c r="K97" s="1" t="s">
        <v>109</v>
      </c>
      <c r="L97" s="1">
        <v>3082749</v>
      </c>
      <c r="M97" s="1" t="s">
        <v>250</v>
      </c>
      <c r="N97" s="5">
        <f>DATE(2024,3,4)</f>
        <v>45355</v>
      </c>
      <c r="O97" s="5">
        <f>DATE(2029,3,4)</f>
        <v>47181</v>
      </c>
      <c r="P97" s="5">
        <f t="shared" si="20"/>
        <v>48276</v>
      </c>
      <c r="Q97" s="1">
        <v>3600</v>
      </c>
      <c r="R97" s="1">
        <v>3600</v>
      </c>
      <c r="S97" s="1">
        <f t="shared" si="21"/>
        <v>3600</v>
      </c>
      <c r="T97" s="1">
        <v>2.5</v>
      </c>
      <c r="U97" s="1" t="str">
        <f t="shared" si="22"/>
        <v>SIM</v>
      </c>
      <c r="V97" s="1">
        <f t="shared" si="23"/>
        <v>1827</v>
      </c>
      <c r="W97" s="4">
        <f t="shared" si="24"/>
        <v>1.9704433497536946</v>
      </c>
      <c r="X97" s="4">
        <f t="shared" si="25"/>
        <v>719.21182266009851</v>
      </c>
      <c r="Y97" s="4">
        <f t="shared" si="26"/>
        <v>0.89901477832512311</v>
      </c>
      <c r="AB97" s="5">
        <f t="shared" si="27"/>
        <v>45292</v>
      </c>
      <c r="AC97" s="5">
        <f t="shared" si="28"/>
        <v>45657</v>
      </c>
      <c r="AD97" s="1">
        <v>40</v>
      </c>
      <c r="AE97" s="1">
        <f t="shared" si="29"/>
        <v>0</v>
      </c>
      <c r="AF97" s="1">
        <f t="shared" si="30"/>
        <v>303</v>
      </c>
      <c r="AG97" s="1">
        <f t="shared" si="31"/>
        <v>0</v>
      </c>
      <c r="AH97" s="1">
        <f t="shared" si="32"/>
        <v>0</v>
      </c>
      <c r="AI97" s="1">
        <f t="shared" si="33"/>
        <v>0</v>
      </c>
      <c r="AJ97" s="3">
        <f t="shared" si="34"/>
        <v>0.82786885245901642</v>
      </c>
      <c r="AK97" s="3">
        <f t="shared" si="35"/>
        <v>0.74426633287571675</v>
      </c>
      <c r="AL97" s="3">
        <f t="shared" si="36"/>
        <v>29.770653315028671</v>
      </c>
      <c r="AM97" s="3">
        <f t="shared" si="37"/>
        <v>74.426633287571676</v>
      </c>
      <c r="AN97" s="3">
        <f t="shared" si="38"/>
        <v>37.213316643785838</v>
      </c>
      <c r="AO97" s="3">
        <f t="shared" si="39"/>
        <v>111.63994993135751</v>
      </c>
      <c r="AP97" s="1" t="str">
        <f>INDEX({"EAD";"EAD";"EAD";"EAD MOOC";"EAD";"EAD";"EAD FP";"EAD";"PRESENCIAL";"PRESENCIAL";"PRESENCIAL";"PRESENCIAL"}, MATCH(CONCATENATE(E97, ".", F97),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8" spans="1:42" x14ac:dyDescent="0.25">
      <c r="A98" s="1" t="s">
        <v>27</v>
      </c>
      <c r="B98" s="1" t="s">
        <v>33</v>
      </c>
      <c r="C98" s="1" t="s">
        <v>29</v>
      </c>
      <c r="D98" s="1" t="s">
        <v>34</v>
      </c>
      <c r="E98" s="1" t="s">
        <v>120</v>
      </c>
      <c r="F98" s="1" t="s">
        <v>21</v>
      </c>
      <c r="G98" s="1" t="s">
        <v>128</v>
      </c>
      <c r="H98" s="1" t="s">
        <v>129</v>
      </c>
      <c r="I98" s="1" t="s">
        <v>124</v>
      </c>
      <c r="J98" s="1" t="s">
        <v>125</v>
      </c>
      <c r="K98" s="1" t="s">
        <v>130</v>
      </c>
      <c r="L98" s="1">
        <v>3082762</v>
      </c>
      <c r="M98" s="1" t="s">
        <v>251</v>
      </c>
      <c r="N98" s="5">
        <f>DATE(2024,3,21)</f>
        <v>45372</v>
      </c>
      <c r="O98" s="5">
        <f>DATE(2026,12,21)</f>
        <v>46377</v>
      </c>
      <c r="P98" s="5">
        <f t="shared" si="20"/>
        <v>47472</v>
      </c>
      <c r="Q98" s="1">
        <v>3670</v>
      </c>
      <c r="R98" s="1">
        <v>800</v>
      </c>
      <c r="S98" s="1">
        <f t="shared" si="21"/>
        <v>3000</v>
      </c>
      <c r="T98" s="1">
        <v>1.5</v>
      </c>
      <c r="U98" s="1" t="str">
        <f t="shared" si="22"/>
        <v>SIM</v>
      </c>
      <c r="V98" s="1">
        <f t="shared" si="23"/>
        <v>1006</v>
      </c>
      <c r="W98" s="4">
        <f t="shared" si="24"/>
        <v>2.982107355864811</v>
      </c>
      <c r="X98" s="4">
        <f t="shared" si="25"/>
        <v>1088.4691848906559</v>
      </c>
      <c r="Y98" s="4">
        <f t="shared" si="26"/>
        <v>1.3605864811133199</v>
      </c>
      <c r="AB98" s="5">
        <f t="shared" si="27"/>
        <v>45292</v>
      </c>
      <c r="AC98" s="5">
        <f t="shared" si="28"/>
        <v>45657</v>
      </c>
      <c r="AD98" s="1">
        <v>36</v>
      </c>
      <c r="AE98" s="1">
        <f t="shared" si="29"/>
        <v>0</v>
      </c>
      <c r="AF98" s="1">
        <f t="shared" si="30"/>
        <v>286</v>
      </c>
      <c r="AG98" s="1">
        <f t="shared" si="31"/>
        <v>0</v>
      </c>
      <c r="AH98" s="1">
        <f t="shared" si="32"/>
        <v>0</v>
      </c>
      <c r="AI98" s="1">
        <f t="shared" si="33"/>
        <v>0</v>
      </c>
      <c r="AJ98" s="3">
        <f t="shared" si="34"/>
        <v>0.78142076502732238</v>
      </c>
      <c r="AK98" s="3">
        <f t="shared" si="35"/>
        <v>1.0631905289574031</v>
      </c>
      <c r="AL98" s="3">
        <f t="shared" si="36"/>
        <v>38.27485904246651</v>
      </c>
      <c r="AM98" s="3">
        <f t="shared" si="37"/>
        <v>57.412288563699761</v>
      </c>
      <c r="AN98" s="3">
        <f t="shared" si="38"/>
        <v>0</v>
      </c>
      <c r="AO98" s="3">
        <f t="shared" si="39"/>
        <v>57.412288563699761</v>
      </c>
      <c r="AP98" s="1" t="str">
        <f>INDEX({"EAD";"EAD";"EAD";"EAD MOOC";"EAD";"EAD";"EAD FP";"EAD";"PRESENCIAL";"PRESENCIAL";"PRESENCIAL";"PRESENCIAL"}, MATCH(CONCATENATE(E98, ".", F98),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9" spans="1:42" x14ac:dyDescent="0.25">
      <c r="A99" s="1" t="s">
        <v>27</v>
      </c>
      <c r="B99" s="1" t="s">
        <v>33</v>
      </c>
      <c r="C99" s="1" t="s">
        <v>29</v>
      </c>
      <c r="D99" s="1" t="s">
        <v>34</v>
      </c>
      <c r="E99" s="1" t="s">
        <v>120</v>
      </c>
      <c r="F99" s="1" t="s">
        <v>21</v>
      </c>
      <c r="G99" s="1" t="s">
        <v>128</v>
      </c>
      <c r="H99" s="1" t="s">
        <v>132</v>
      </c>
      <c r="I99" s="1" t="s">
        <v>107</v>
      </c>
      <c r="J99" s="1" t="s">
        <v>108</v>
      </c>
      <c r="K99" s="1" t="s">
        <v>130</v>
      </c>
      <c r="L99" s="1">
        <v>3082880</v>
      </c>
      <c r="M99" s="1" t="s">
        <v>252</v>
      </c>
      <c r="N99" s="5">
        <f>DATE(2024,3,21)</f>
        <v>45372</v>
      </c>
      <c r="O99" s="5">
        <f>DATE(2026,12,31)</f>
        <v>46387</v>
      </c>
      <c r="P99" s="5">
        <f t="shared" si="20"/>
        <v>47482</v>
      </c>
      <c r="Q99" s="1">
        <v>3482</v>
      </c>
      <c r="R99" s="1">
        <v>1200</v>
      </c>
      <c r="S99" s="1">
        <f t="shared" si="21"/>
        <v>3200</v>
      </c>
      <c r="T99" s="1">
        <v>2.5</v>
      </c>
      <c r="U99" s="1" t="str">
        <f t="shared" si="22"/>
        <v>SIM</v>
      </c>
      <c r="V99" s="1">
        <f t="shared" si="23"/>
        <v>1016</v>
      </c>
      <c r="W99" s="4">
        <f t="shared" si="24"/>
        <v>3.1496062992125986</v>
      </c>
      <c r="X99" s="4">
        <f t="shared" si="25"/>
        <v>1149.6062992125985</v>
      </c>
      <c r="Y99" s="4">
        <f t="shared" si="26"/>
        <v>1.4370078740157481</v>
      </c>
      <c r="AB99" s="5">
        <f t="shared" si="27"/>
        <v>45292</v>
      </c>
      <c r="AC99" s="5">
        <f t="shared" si="28"/>
        <v>45657</v>
      </c>
      <c r="AD99" s="1">
        <v>74</v>
      </c>
      <c r="AE99" s="1">
        <f t="shared" si="29"/>
        <v>0</v>
      </c>
      <c r="AF99" s="1">
        <f t="shared" si="30"/>
        <v>286</v>
      </c>
      <c r="AG99" s="1">
        <f t="shared" si="31"/>
        <v>0</v>
      </c>
      <c r="AH99" s="1">
        <f t="shared" si="32"/>
        <v>0</v>
      </c>
      <c r="AI99" s="1">
        <f t="shared" si="33"/>
        <v>0</v>
      </c>
      <c r="AJ99" s="3">
        <f t="shared" si="34"/>
        <v>0.78142076502732238</v>
      </c>
      <c r="AK99" s="3">
        <f t="shared" si="35"/>
        <v>1.1229077922636721</v>
      </c>
      <c r="AL99" s="3">
        <f t="shared" si="36"/>
        <v>83.095176627511734</v>
      </c>
      <c r="AM99" s="3">
        <f t="shared" si="37"/>
        <v>207.73794156877932</v>
      </c>
      <c r="AN99" s="3">
        <f t="shared" si="38"/>
        <v>103.86897078438966</v>
      </c>
      <c r="AO99" s="3">
        <f t="shared" si="39"/>
        <v>311.60691235316898</v>
      </c>
      <c r="AP99" s="1" t="str">
        <f>INDEX({"EAD";"EAD";"EAD";"EAD MOOC";"EAD";"EAD";"EAD FP";"EAD";"PRESENCIAL";"PRESENCIAL";"PRESENCIAL";"PRESENCIAL"}, MATCH(CONCATENATE(E99, ".", F99),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0" spans="1:42" x14ac:dyDescent="0.25">
      <c r="A100" s="1" t="s">
        <v>27</v>
      </c>
      <c r="B100" s="1" t="s">
        <v>33</v>
      </c>
      <c r="C100" s="1" t="s">
        <v>29</v>
      </c>
      <c r="D100" s="1" t="s">
        <v>34</v>
      </c>
      <c r="E100" s="1" t="s">
        <v>120</v>
      </c>
      <c r="F100" s="1" t="s">
        <v>21</v>
      </c>
      <c r="G100" s="1" t="s">
        <v>128</v>
      </c>
      <c r="H100" s="1" t="s">
        <v>208</v>
      </c>
      <c r="I100" s="1" t="s">
        <v>209</v>
      </c>
      <c r="J100" s="1" t="s">
        <v>125</v>
      </c>
      <c r="K100" s="1" t="s">
        <v>130</v>
      </c>
      <c r="L100" s="1">
        <v>3083233</v>
      </c>
      <c r="M100" s="1" t="s">
        <v>253</v>
      </c>
      <c r="N100" s="5">
        <f>DATE(2024,3,21)</f>
        <v>45372</v>
      </c>
      <c r="O100" s="5">
        <f>DATE(2026,12,31)</f>
        <v>46387</v>
      </c>
      <c r="P100" s="5">
        <f t="shared" si="20"/>
        <v>47482</v>
      </c>
      <c r="Q100" s="1">
        <v>3772</v>
      </c>
      <c r="R100" s="1">
        <v>1200</v>
      </c>
      <c r="S100" s="1">
        <f t="shared" si="21"/>
        <v>3200</v>
      </c>
      <c r="T100" s="1">
        <v>1.5</v>
      </c>
      <c r="U100" s="1" t="str">
        <f t="shared" si="22"/>
        <v>SIM</v>
      </c>
      <c r="V100" s="1">
        <f t="shared" si="23"/>
        <v>1016</v>
      </c>
      <c r="W100" s="4">
        <f t="shared" si="24"/>
        <v>3.1496062992125986</v>
      </c>
      <c r="X100" s="4">
        <f t="shared" si="25"/>
        <v>1149.6062992125985</v>
      </c>
      <c r="Y100" s="4">
        <f t="shared" si="26"/>
        <v>1.4370078740157481</v>
      </c>
      <c r="AB100" s="5">
        <f t="shared" si="27"/>
        <v>45292</v>
      </c>
      <c r="AC100" s="5">
        <f t="shared" si="28"/>
        <v>45657</v>
      </c>
      <c r="AD100" s="1">
        <v>70</v>
      </c>
      <c r="AE100" s="1">
        <f t="shared" si="29"/>
        <v>0</v>
      </c>
      <c r="AF100" s="1">
        <f t="shared" si="30"/>
        <v>286</v>
      </c>
      <c r="AG100" s="1">
        <f t="shared" si="31"/>
        <v>0</v>
      </c>
      <c r="AH100" s="1">
        <f t="shared" si="32"/>
        <v>0</v>
      </c>
      <c r="AI100" s="1">
        <f t="shared" si="33"/>
        <v>0</v>
      </c>
      <c r="AJ100" s="3">
        <f t="shared" si="34"/>
        <v>0.78142076502732238</v>
      </c>
      <c r="AK100" s="3">
        <f t="shared" si="35"/>
        <v>1.1229077922636721</v>
      </c>
      <c r="AL100" s="3">
        <f t="shared" si="36"/>
        <v>78.603545458457049</v>
      </c>
      <c r="AM100" s="3">
        <f t="shared" si="37"/>
        <v>117.90531818768557</v>
      </c>
      <c r="AN100" s="3">
        <f t="shared" si="38"/>
        <v>0</v>
      </c>
      <c r="AO100" s="3">
        <f t="shared" si="39"/>
        <v>117.90531818768557</v>
      </c>
      <c r="AP100" s="1" t="str">
        <f>INDEX({"EAD";"EAD";"EAD";"EAD MOOC";"EAD";"EAD";"EAD FP";"EAD";"PRESENCIAL";"PRESENCIAL";"PRESENCIAL";"PRESENCIAL"}, MATCH(CONCATENATE(E100, ".", F100),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1" spans="1:42" x14ac:dyDescent="0.25">
      <c r="A101" s="1" t="s">
        <v>27</v>
      </c>
      <c r="B101" s="1" t="s">
        <v>35</v>
      </c>
      <c r="C101" s="1" t="s">
        <v>29</v>
      </c>
      <c r="D101" s="1" t="s">
        <v>36</v>
      </c>
      <c r="E101" s="1" t="s">
        <v>120</v>
      </c>
      <c r="F101" s="1" t="s">
        <v>21</v>
      </c>
      <c r="G101" s="1" t="s">
        <v>121</v>
      </c>
      <c r="H101" s="1" t="s">
        <v>254</v>
      </c>
      <c r="I101" s="1" t="s">
        <v>107</v>
      </c>
      <c r="J101" s="1" t="s">
        <v>108</v>
      </c>
      <c r="K101" s="1" t="s">
        <v>109</v>
      </c>
      <c r="L101" s="1">
        <v>1781796</v>
      </c>
      <c r="M101" s="1" t="s">
        <v>255</v>
      </c>
      <c r="N101" s="5">
        <f>DATE(2013,5,27)</f>
        <v>41421</v>
      </c>
      <c r="O101" s="5">
        <f>DATE(2017,12,31)</f>
        <v>43100</v>
      </c>
      <c r="P101" s="5">
        <f t="shared" si="20"/>
        <v>44195</v>
      </c>
      <c r="Q101" s="1">
        <v>4500</v>
      </c>
      <c r="R101" s="1">
        <v>3600</v>
      </c>
      <c r="S101" s="1">
        <f t="shared" si="21"/>
        <v>3600</v>
      </c>
      <c r="T101" s="1">
        <v>2.5</v>
      </c>
      <c r="U101" s="1" t="str">
        <f t="shared" si="22"/>
        <v>NÃO</v>
      </c>
      <c r="V101" s="1">
        <f t="shared" si="23"/>
        <v>1680</v>
      </c>
      <c r="W101" s="4">
        <f t="shared" si="24"/>
        <v>2.1428571428571428</v>
      </c>
      <c r="X101" s="4">
        <f t="shared" si="25"/>
        <v>782.14285714285711</v>
      </c>
      <c r="Y101" s="4">
        <f t="shared" si="26"/>
        <v>0.9776785714285714</v>
      </c>
      <c r="AB101" s="5">
        <f t="shared" si="27"/>
        <v>45292</v>
      </c>
      <c r="AC101" s="5">
        <f t="shared" si="28"/>
        <v>45657</v>
      </c>
      <c r="AE101" s="1">
        <f t="shared" si="29"/>
        <v>0</v>
      </c>
      <c r="AF101" s="1">
        <f t="shared" si="30"/>
        <v>0</v>
      </c>
      <c r="AG101" s="1">
        <f t="shared" si="31"/>
        <v>0</v>
      </c>
      <c r="AH101" s="1">
        <f t="shared" si="32"/>
        <v>0</v>
      </c>
      <c r="AI101" s="1">
        <f t="shared" si="33"/>
        <v>183</v>
      </c>
      <c r="AJ101" s="3">
        <f t="shared" si="34"/>
        <v>0.5</v>
      </c>
      <c r="AK101" s="3">
        <f t="shared" si="35"/>
        <v>0.4888392857142857</v>
      </c>
      <c r="AL101" s="3">
        <f t="shared" si="36"/>
        <v>0</v>
      </c>
      <c r="AM101" s="3">
        <f t="shared" si="37"/>
        <v>0</v>
      </c>
      <c r="AN101" s="3">
        <f t="shared" si="38"/>
        <v>0</v>
      </c>
      <c r="AO101" s="3">
        <f t="shared" si="39"/>
        <v>0</v>
      </c>
      <c r="AP101" s="1" t="str">
        <f>INDEX({"EAD";"EAD";"EAD";"EAD MOOC";"EAD";"EAD";"EAD FP";"EAD";"PRESENCIAL";"PRESENCIAL";"PRESENCIAL";"PRESENCIAL"}, MATCH(CONCATENATE(E101, ".", F101),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2" spans="1:42" x14ac:dyDescent="0.25">
      <c r="A102" s="1" t="s">
        <v>27</v>
      </c>
      <c r="B102" s="1" t="s">
        <v>35</v>
      </c>
      <c r="C102" s="1" t="s">
        <v>29</v>
      </c>
      <c r="D102" s="1" t="s">
        <v>36</v>
      </c>
      <c r="E102" s="1" t="s">
        <v>120</v>
      </c>
      <c r="F102" s="1" t="s">
        <v>21</v>
      </c>
      <c r="G102" s="1" t="s">
        <v>121</v>
      </c>
      <c r="H102" s="1" t="s">
        <v>254</v>
      </c>
      <c r="I102" s="1" t="s">
        <v>107</v>
      </c>
      <c r="J102" s="1" t="s">
        <v>108</v>
      </c>
      <c r="K102" s="1" t="s">
        <v>109</v>
      </c>
      <c r="L102" s="1">
        <v>1949817</v>
      </c>
      <c r="M102" s="1" t="s">
        <v>256</v>
      </c>
      <c r="N102" s="5">
        <f>DATE(2014,5,7)</f>
        <v>41766</v>
      </c>
      <c r="O102" s="5">
        <f>DATE(2018,12,31)</f>
        <v>43465</v>
      </c>
      <c r="P102" s="5">
        <f t="shared" si="20"/>
        <v>44560</v>
      </c>
      <c r="Q102" s="1">
        <v>4500</v>
      </c>
      <c r="R102" s="1">
        <v>3600</v>
      </c>
      <c r="S102" s="1">
        <f t="shared" si="21"/>
        <v>3600</v>
      </c>
      <c r="T102" s="1">
        <v>2.5</v>
      </c>
      <c r="U102" s="1" t="str">
        <f t="shared" si="22"/>
        <v>NÃO</v>
      </c>
      <c r="V102" s="1">
        <f t="shared" si="23"/>
        <v>1700</v>
      </c>
      <c r="W102" s="4">
        <f t="shared" si="24"/>
        <v>2.1176470588235294</v>
      </c>
      <c r="X102" s="4">
        <f t="shared" si="25"/>
        <v>772.94117647058829</v>
      </c>
      <c r="Y102" s="4">
        <f t="shared" si="26"/>
        <v>0.96617647058823541</v>
      </c>
      <c r="AB102" s="5">
        <f t="shared" si="27"/>
        <v>45292</v>
      </c>
      <c r="AC102" s="5">
        <f t="shared" si="28"/>
        <v>45657</v>
      </c>
      <c r="AD102" s="1">
        <v>1</v>
      </c>
      <c r="AE102" s="1">
        <f t="shared" si="29"/>
        <v>0</v>
      </c>
      <c r="AF102" s="1">
        <f t="shared" si="30"/>
        <v>0</v>
      </c>
      <c r="AG102" s="1">
        <f t="shared" si="31"/>
        <v>0</v>
      </c>
      <c r="AH102" s="1">
        <f t="shared" si="32"/>
        <v>0</v>
      </c>
      <c r="AI102" s="1">
        <f t="shared" si="33"/>
        <v>183</v>
      </c>
      <c r="AJ102" s="3">
        <f t="shared" si="34"/>
        <v>0.5</v>
      </c>
      <c r="AK102" s="3">
        <f t="shared" si="35"/>
        <v>0.48308823529411771</v>
      </c>
      <c r="AL102" s="3">
        <f t="shared" si="36"/>
        <v>0</v>
      </c>
      <c r="AM102" s="3">
        <f t="shared" si="37"/>
        <v>0</v>
      </c>
      <c r="AN102" s="3">
        <f t="shared" si="38"/>
        <v>0</v>
      </c>
      <c r="AO102" s="3">
        <f t="shared" si="39"/>
        <v>0</v>
      </c>
      <c r="AP102" s="1" t="str">
        <f>INDEX({"EAD";"EAD";"EAD";"EAD MOOC";"EAD";"EAD";"EAD FP";"EAD";"PRESENCIAL";"PRESENCIAL";"PRESENCIAL";"PRESENCIAL"}, MATCH(CONCATENATE(E102, ".", F102),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3" spans="1:42" x14ac:dyDescent="0.25">
      <c r="A103" s="1" t="s">
        <v>27</v>
      </c>
      <c r="B103" s="1" t="s">
        <v>35</v>
      </c>
      <c r="C103" s="1" t="s">
        <v>29</v>
      </c>
      <c r="D103" s="1" t="s">
        <v>36</v>
      </c>
      <c r="E103" s="1" t="s">
        <v>120</v>
      </c>
      <c r="F103" s="1" t="s">
        <v>21</v>
      </c>
      <c r="G103" s="1" t="s">
        <v>121</v>
      </c>
      <c r="H103" s="1" t="s">
        <v>254</v>
      </c>
      <c r="I103" s="1" t="s">
        <v>107</v>
      </c>
      <c r="J103" s="1" t="s">
        <v>108</v>
      </c>
      <c r="K103" s="1" t="s">
        <v>109</v>
      </c>
      <c r="L103" s="1">
        <v>1983153</v>
      </c>
      <c r="M103" s="1" t="s">
        <v>257</v>
      </c>
      <c r="N103" s="5">
        <f>DATE(2015,4,27)</f>
        <v>42121</v>
      </c>
      <c r="O103" s="5">
        <f>DATE(2019,12,31)</f>
        <v>43830</v>
      </c>
      <c r="P103" s="5">
        <f t="shared" si="20"/>
        <v>44925</v>
      </c>
      <c r="Q103" s="1">
        <v>4500</v>
      </c>
      <c r="R103" s="1">
        <v>3600</v>
      </c>
      <c r="S103" s="1">
        <f t="shared" si="21"/>
        <v>3600</v>
      </c>
      <c r="T103" s="1">
        <v>2.5</v>
      </c>
      <c r="U103" s="1" t="str">
        <f t="shared" si="22"/>
        <v>NÃO</v>
      </c>
      <c r="V103" s="1">
        <f t="shared" si="23"/>
        <v>1710</v>
      </c>
      <c r="W103" s="4">
        <f t="shared" si="24"/>
        <v>2.1052631578947367</v>
      </c>
      <c r="X103" s="4">
        <f t="shared" si="25"/>
        <v>768.42105263157896</v>
      </c>
      <c r="Y103" s="4">
        <f t="shared" si="26"/>
        <v>0.96052631578947367</v>
      </c>
      <c r="AB103" s="5">
        <f t="shared" si="27"/>
        <v>45292</v>
      </c>
      <c r="AC103" s="5">
        <f t="shared" si="28"/>
        <v>45657</v>
      </c>
      <c r="AE103" s="1">
        <f t="shared" si="29"/>
        <v>0</v>
      </c>
      <c r="AF103" s="1">
        <f t="shared" si="30"/>
        <v>0</v>
      </c>
      <c r="AG103" s="1">
        <f t="shared" si="31"/>
        <v>0</v>
      </c>
      <c r="AH103" s="1">
        <f t="shared" si="32"/>
        <v>0</v>
      </c>
      <c r="AI103" s="1">
        <f t="shared" si="33"/>
        <v>183</v>
      </c>
      <c r="AJ103" s="3">
        <f t="shared" si="34"/>
        <v>0.5</v>
      </c>
      <c r="AK103" s="3">
        <f t="shared" si="35"/>
        <v>0.48026315789473684</v>
      </c>
      <c r="AL103" s="3">
        <f t="shared" si="36"/>
        <v>0</v>
      </c>
      <c r="AM103" s="3">
        <f t="shared" si="37"/>
        <v>0</v>
      </c>
      <c r="AN103" s="3">
        <f t="shared" si="38"/>
        <v>0</v>
      </c>
      <c r="AO103" s="3">
        <f t="shared" si="39"/>
        <v>0</v>
      </c>
      <c r="AP103" s="1" t="str">
        <f>INDEX({"EAD";"EAD";"EAD";"EAD MOOC";"EAD";"EAD";"EAD FP";"EAD";"PRESENCIAL";"PRESENCIAL";"PRESENCIAL";"PRESENCIAL"}, MATCH(CONCATENATE(E103, ".", F103),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4" spans="1:42" x14ac:dyDescent="0.25">
      <c r="A104" s="1" t="s">
        <v>27</v>
      </c>
      <c r="B104" s="1" t="s">
        <v>35</v>
      </c>
      <c r="C104" s="1" t="s">
        <v>29</v>
      </c>
      <c r="D104" s="1" t="s">
        <v>36</v>
      </c>
      <c r="E104" s="1" t="s">
        <v>120</v>
      </c>
      <c r="F104" s="1" t="s">
        <v>21</v>
      </c>
      <c r="G104" s="1" t="s">
        <v>161</v>
      </c>
      <c r="H104" s="1" t="s">
        <v>258</v>
      </c>
      <c r="I104" s="1" t="s">
        <v>107</v>
      </c>
      <c r="J104" s="1" t="s">
        <v>125</v>
      </c>
      <c r="K104" s="1" t="s">
        <v>259</v>
      </c>
      <c r="L104" s="1">
        <v>2025289</v>
      </c>
      <c r="M104" s="1" t="s">
        <v>260</v>
      </c>
      <c r="N104" s="5">
        <f>DATE(2016,3,14)</f>
        <v>42443</v>
      </c>
      <c r="O104" s="5">
        <f>DATE(2016,8,5)</f>
        <v>42587</v>
      </c>
      <c r="P104" s="5">
        <f t="shared" si="20"/>
        <v>42587</v>
      </c>
      <c r="Q104" s="1">
        <v>204</v>
      </c>
      <c r="R104" s="1">
        <v>160</v>
      </c>
      <c r="S104" s="1">
        <f t="shared" si="21"/>
        <v>204</v>
      </c>
      <c r="T104" s="1">
        <v>1</v>
      </c>
      <c r="U104" s="1" t="str">
        <f t="shared" si="22"/>
        <v>NÃO</v>
      </c>
      <c r="V104" s="1">
        <f t="shared" si="23"/>
        <v>145</v>
      </c>
      <c r="W104" s="4">
        <f t="shared" si="24"/>
        <v>1.4068965517241379</v>
      </c>
      <c r="X104" s="4">
        <f t="shared" si="25"/>
        <v>204</v>
      </c>
      <c r="Y104" s="4">
        <f t="shared" si="26"/>
        <v>0.255</v>
      </c>
      <c r="AB104" s="5">
        <f t="shared" si="27"/>
        <v>45292</v>
      </c>
      <c r="AC104" s="5">
        <f t="shared" si="28"/>
        <v>45657</v>
      </c>
      <c r="AD104" s="1">
        <v>23</v>
      </c>
      <c r="AE104" s="1">
        <f t="shared" si="29"/>
        <v>0</v>
      </c>
      <c r="AF104" s="1">
        <f t="shared" si="30"/>
        <v>0</v>
      </c>
      <c r="AG104" s="1">
        <f t="shared" si="31"/>
        <v>0</v>
      </c>
      <c r="AH104" s="1">
        <f t="shared" si="32"/>
        <v>0</v>
      </c>
      <c r="AI104" s="1">
        <f t="shared" si="33"/>
        <v>183</v>
      </c>
      <c r="AJ104" s="3">
        <f t="shared" si="34"/>
        <v>1.2620689655172415</v>
      </c>
      <c r="AK104" s="3">
        <f t="shared" si="35"/>
        <v>0.32182758620689655</v>
      </c>
      <c r="AL104" s="3">
        <f t="shared" si="36"/>
        <v>0</v>
      </c>
      <c r="AM104" s="3">
        <f t="shared" si="37"/>
        <v>0</v>
      </c>
      <c r="AN104" s="3">
        <f t="shared" si="38"/>
        <v>0</v>
      </c>
      <c r="AO104" s="3">
        <f t="shared" si="39"/>
        <v>0</v>
      </c>
      <c r="AP104" s="1" t="str">
        <f>INDEX({"EAD";"EAD";"EAD";"EAD MOOC";"EAD";"EAD";"EAD FP";"EAD";"PRESENCIAL";"PRESENCIAL";"PRESENCIAL";"PRESENCIAL"}, MATCH(CONCATENATE(E104, ".", F104),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5" spans="1:42" x14ac:dyDescent="0.25">
      <c r="A105" s="1" t="s">
        <v>27</v>
      </c>
      <c r="B105" s="1" t="s">
        <v>35</v>
      </c>
      <c r="C105" s="1" t="s">
        <v>29</v>
      </c>
      <c r="D105" s="1" t="s">
        <v>36</v>
      </c>
      <c r="E105" s="1" t="s">
        <v>120</v>
      </c>
      <c r="F105" s="1" t="s">
        <v>21</v>
      </c>
      <c r="G105" s="1" t="s">
        <v>121</v>
      </c>
      <c r="H105" s="1" t="s">
        <v>254</v>
      </c>
      <c r="I105" s="1" t="s">
        <v>107</v>
      </c>
      <c r="J105" s="1" t="s">
        <v>108</v>
      </c>
      <c r="K105" s="1" t="s">
        <v>109</v>
      </c>
      <c r="L105" s="1">
        <v>2024866</v>
      </c>
      <c r="M105" s="1" t="s">
        <v>261</v>
      </c>
      <c r="N105" s="5">
        <f>DATE(2016,6,13)</f>
        <v>42534</v>
      </c>
      <c r="O105" s="5">
        <f>DATE(2020,12,31)</f>
        <v>44196</v>
      </c>
      <c r="P105" s="5">
        <f t="shared" si="20"/>
        <v>45291</v>
      </c>
      <c r="Q105" s="1">
        <v>4500</v>
      </c>
      <c r="R105" s="1">
        <v>3600</v>
      </c>
      <c r="S105" s="1">
        <f t="shared" si="21"/>
        <v>3600</v>
      </c>
      <c r="T105" s="1">
        <v>2.5</v>
      </c>
      <c r="U105" s="1" t="str">
        <f t="shared" si="22"/>
        <v>NÃO</v>
      </c>
      <c r="V105" s="1">
        <f t="shared" si="23"/>
        <v>1663</v>
      </c>
      <c r="W105" s="4">
        <f t="shared" si="24"/>
        <v>2.1647624774503909</v>
      </c>
      <c r="X105" s="4">
        <f t="shared" si="25"/>
        <v>790.13830426939262</v>
      </c>
      <c r="Y105" s="4">
        <f t="shared" si="26"/>
        <v>0.98767288033674072</v>
      </c>
      <c r="AB105" s="5">
        <f t="shared" si="27"/>
        <v>45292</v>
      </c>
      <c r="AC105" s="5">
        <f t="shared" si="28"/>
        <v>45657</v>
      </c>
      <c r="AE105" s="1">
        <f t="shared" si="29"/>
        <v>0</v>
      </c>
      <c r="AF105" s="1">
        <f t="shared" si="30"/>
        <v>0</v>
      </c>
      <c r="AG105" s="1">
        <f t="shared" si="31"/>
        <v>0</v>
      </c>
      <c r="AH105" s="1">
        <f t="shared" si="32"/>
        <v>0</v>
      </c>
      <c r="AI105" s="1">
        <f t="shared" si="33"/>
        <v>183</v>
      </c>
      <c r="AJ105" s="3">
        <f t="shared" si="34"/>
        <v>0.5</v>
      </c>
      <c r="AK105" s="3">
        <f t="shared" si="35"/>
        <v>0.49383644016837036</v>
      </c>
      <c r="AL105" s="3">
        <f t="shared" si="36"/>
        <v>0</v>
      </c>
      <c r="AM105" s="3">
        <f t="shared" si="37"/>
        <v>0</v>
      </c>
      <c r="AN105" s="3">
        <f t="shared" si="38"/>
        <v>0</v>
      </c>
      <c r="AO105" s="3">
        <f t="shared" si="39"/>
        <v>0</v>
      </c>
      <c r="AP105" s="1" t="str">
        <f>INDEX({"EAD";"EAD";"EAD";"EAD MOOC";"EAD";"EAD";"EAD FP";"EAD";"PRESENCIAL";"PRESENCIAL";"PRESENCIAL";"PRESENCIAL"}, MATCH(CONCATENATE(E105, ".", F105),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6" spans="1:42" x14ac:dyDescent="0.25">
      <c r="A106" s="1" t="s">
        <v>27</v>
      </c>
      <c r="B106" s="1" t="s">
        <v>35</v>
      </c>
      <c r="C106" s="1" t="s">
        <v>29</v>
      </c>
      <c r="D106" s="1" t="s">
        <v>36</v>
      </c>
      <c r="E106" s="1" t="s">
        <v>120</v>
      </c>
      <c r="F106" s="1" t="s">
        <v>21</v>
      </c>
      <c r="G106" s="1" t="s">
        <v>121</v>
      </c>
      <c r="H106" s="1" t="s">
        <v>254</v>
      </c>
      <c r="I106" s="1" t="s">
        <v>107</v>
      </c>
      <c r="J106" s="1" t="s">
        <v>108</v>
      </c>
      <c r="K106" s="1" t="s">
        <v>109</v>
      </c>
      <c r="L106" s="1">
        <v>2152754</v>
      </c>
      <c r="M106" s="1" t="s">
        <v>262</v>
      </c>
      <c r="N106" s="5">
        <f>DATE(2017,3,1)</f>
        <v>42795</v>
      </c>
      <c r="O106" s="5">
        <f>DATE(2021,6,1)</f>
        <v>44348</v>
      </c>
      <c r="P106" s="5">
        <f t="shared" si="20"/>
        <v>45443</v>
      </c>
      <c r="Q106" s="1">
        <v>4500</v>
      </c>
      <c r="R106" s="1">
        <v>3600</v>
      </c>
      <c r="S106" s="1">
        <f t="shared" si="21"/>
        <v>3600</v>
      </c>
      <c r="T106" s="1">
        <v>2.5</v>
      </c>
      <c r="U106" s="1" t="str">
        <f t="shared" si="22"/>
        <v>SIM</v>
      </c>
      <c r="V106" s="1">
        <f t="shared" si="23"/>
        <v>1554</v>
      </c>
      <c r="W106" s="4">
        <f t="shared" si="24"/>
        <v>2.3166023166023164</v>
      </c>
      <c r="X106" s="4">
        <f t="shared" si="25"/>
        <v>845.55984555984548</v>
      </c>
      <c r="Y106" s="4">
        <f t="shared" si="26"/>
        <v>1.0569498069498069</v>
      </c>
      <c r="AB106" s="5">
        <f t="shared" si="27"/>
        <v>45292</v>
      </c>
      <c r="AC106" s="5">
        <f t="shared" si="28"/>
        <v>45657</v>
      </c>
      <c r="AD106" s="1">
        <v>2</v>
      </c>
      <c r="AE106" s="1">
        <f t="shared" si="29"/>
        <v>0</v>
      </c>
      <c r="AF106" s="1">
        <f t="shared" si="30"/>
        <v>0</v>
      </c>
      <c r="AG106" s="1">
        <f t="shared" si="31"/>
        <v>0</v>
      </c>
      <c r="AH106" s="1">
        <f t="shared" si="32"/>
        <v>0</v>
      </c>
      <c r="AI106" s="1">
        <f t="shared" si="33"/>
        <v>183</v>
      </c>
      <c r="AJ106" s="3">
        <f t="shared" si="34"/>
        <v>0.5</v>
      </c>
      <c r="AK106" s="3">
        <f t="shared" si="35"/>
        <v>0.52847490347490345</v>
      </c>
      <c r="AL106" s="3">
        <f t="shared" si="36"/>
        <v>0.52847490347490345</v>
      </c>
      <c r="AM106" s="3">
        <f t="shared" si="37"/>
        <v>1.3211872586872586</v>
      </c>
      <c r="AN106" s="3">
        <f t="shared" si="38"/>
        <v>0.66059362934362931</v>
      </c>
      <c r="AO106" s="3">
        <f t="shared" si="39"/>
        <v>1.981780888030888</v>
      </c>
      <c r="AP106" s="1" t="str">
        <f>INDEX({"EAD";"EAD";"EAD";"EAD MOOC";"EAD";"EAD";"EAD FP";"EAD";"PRESENCIAL";"PRESENCIAL";"PRESENCIAL";"PRESENCIAL"}, MATCH(CONCATENATE(E106, ".", F106),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7" spans="1:42" x14ac:dyDescent="0.25">
      <c r="A107" s="1" t="s">
        <v>27</v>
      </c>
      <c r="B107" s="1" t="s">
        <v>35</v>
      </c>
      <c r="C107" s="1" t="s">
        <v>29</v>
      </c>
      <c r="D107" s="1" t="s">
        <v>36</v>
      </c>
      <c r="E107" s="1" t="s">
        <v>120</v>
      </c>
      <c r="F107" s="1" t="s">
        <v>21</v>
      </c>
      <c r="G107" s="1" t="s">
        <v>128</v>
      </c>
      <c r="H107" s="1" t="s">
        <v>132</v>
      </c>
      <c r="I107" s="1" t="s">
        <v>107</v>
      </c>
      <c r="J107" s="1" t="s">
        <v>108</v>
      </c>
      <c r="K107" s="1" t="s">
        <v>130</v>
      </c>
      <c r="L107" s="1">
        <v>2468422</v>
      </c>
      <c r="M107" s="1" t="s">
        <v>263</v>
      </c>
      <c r="N107" s="5">
        <f>DATE(2018,1,29)</f>
        <v>43129</v>
      </c>
      <c r="O107" s="5">
        <f>DATE(2020,12,31)</f>
        <v>44196</v>
      </c>
      <c r="P107" s="5">
        <f t="shared" si="20"/>
        <v>45291</v>
      </c>
      <c r="Q107" s="1">
        <v>4570</v>
      </c>
      <c r="R107" s="1">
        <v>1200</v>
      </c>
      <c r="S107" s="1">
        <f t="shared" si="21"/>
        <v>3200</v>
      </c>
      <c r="T107" s="1">
        <v>2.5</v>
      </c>
      <c r="U107" s="1" t="str">
        <f t="shared" si="22"/>
        <v>NÃO</v>
      </c>
      <c r="V107" s="1">
        <f t="shared" si="23"/>
        <v>1068</v>
      </c>
      <c r="W107" s="4">
        <f t="shared" si="24"/>
        <v>2.9962546816479403</v>
      </c>
      <c r="X107" s="4">
        <f t="shared" si="25"/>
        <v>1093.6329588014983</v>
      </c>
      <c r="Y107" s="4">
        <f t="shared" si="26"/>
        <v>1.3670411985018729</v>
      </c>
      <c r="AB107" s="5">
        <f t="shared" si="27"/>
        <v>45292</v>
      </c>
      <c r="AC107" s="5">
        <f t="shared" si="28"/>
        <v>45657</v>
      </c>
      <c r="AD107" s="1">
        <v>3</v>
      </c>
      <c r="AE107" s="1">
        <f t="shared" si="29"/>
        <v>0</v>
      </c>
      <c r="AF107" s="1">
        <f t="shared" si="30"/>
        <v>0</v>
      </c>
      <c r="AG107" s="1">
        <f t="shared" si="31"/>
        <v>0</v>
      </c>
      <c r="AH107" s="1">
        <f t="shared" si="32"/>
        <v>0</v>
      </c>
      <c r="AI107" s="1">
        <f t="shared" si="33"/>
        <v>183</v>
      </c>
      <c r="AJ107" s="3">
        <f t="shared" si="34"/>
        <v>0.5</v>
      </c>
      <c r="AK107" s="3">
        <f t="shared" si="35"/>
        <v>0.68352059925093644</v>
      </c>
      <c r="AL107" s="3">
        <f t="shared" si="36"/>
        <v>0</v>
      </c>
      <c r="AM107" s="3">
        <f t="shared" si="37"/>
        <v>0</v>
      </c>
      <c r="AN107" s="3">
        <f t="shared" si="38"/>
        <v>0</v>
      </c>
      <c r="AO107" s="3">
        <f t="shared" si="39"/>
        <v>0</v>
      </c>
      <c r="AP107" s="1" t="str">
        <f>INDEX({"EAD";"EAD";"EAD";"EAD MOOC";"EAD";"EAD";"EAD FP";"EAD";"PRESENCIAL";"PRESENCIAL";"PRESENCIAL";"PRESENCIAL"}, MATCH(CONCATENATE(E107, ".", F107),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8" spans="1:42" x14ac:dyDescent="0.25">
      <c r="A108" s="1" t="s">
        <v>27</v>
      </c>
      <c r="B108" s="1" t="s">
        <v>35</v>
      </c>
      <c r="C108" s="1" t="s">
        <v>29</v>
      </c>
      <c r="D108" s="1" t="s">
        <v>36</v>
      </c>
      <c r="E108" s="1" t="s">
        <v>120</v>
      </c>
      <c r="F108" s="1" t="s">
        <v>21</v>
      </c>
      <c r="G108" s="1" t="s">
        <v>128</v>
      </c>
      <c r="H108" s="1" t="s">
        <v>208</v>
      </c>
      <c r="I108" s="1" t="s">
        <v>209</v>
      </c>
      <c r="J108" s="1" t="s">
        <v>125</v>
      </c>
      <c r="K108" s="1" t="s">
        <v>130</v>
      </c>
      <c r="L108" s="1">
        <v>2468423</v>
      </c>
      <c r="M108" s="1" t="s">
        <v>264</v>
      </c>
      <c r="N108" s="5">
        <f>DATE(2018,1,29)</f>
        <v>43129</v>
      </c>
      <c r="O108" s="5">
        <f>DATE(2020,12,31)</f>
        <v>44196</v>
      </c>
      <c r="P108" s="5">
        <f t="shared" si="20"/>
        <v>45291</v>
      </c>
      <c r="Q108" s="1">
        <v>4080</v>
      </c>
      <c r="R108" s="1">
        <v>1200</v>
      </c>
      <c r="S108" s="1">
        <f t="shared" si="21"/>
        <v>3200</v>
      </c>
      <c r="T108" s="1">
        <v>1.5</v>
      </c>
      <c r="U108" s="1" t="str">
        <f t="shared" si="22"/>
        <v>NÃO</v>
      </c>
      <c r="V108" s="1">
        <f t="shared" si="23"/>
        <v>1068</v>
      </c>
      <c r="W108" s="4">
        <f t="shared" si="24"/>
        <v>2.9962546816479403</v>
      </c>
      <c r="X108" s="4">
        <f t="shared" si="25"/>
        <v>1093.6329588014983</v>
      </c>
      <c r="Y108" s="4">
        <f t="shared" si="26"/>
        <v>1.3670411985018729</v>
      </c>
      <c r="AB108" s="5">
        <f t="shared" si="27"/>
        <v>45292</v>
      </c>
      <c r="AC108" s="5">
        <f t="shared" si="28"/>
        <v>45657</v>
      </c>
      <c r="AD108" s="1">
        <v>1</v>
      </c>
      <c r="AE108" s="1">
        <f t="shared" si="29"/>
        <v>0</v>
      </c>
      <c r="AF108" s="1">
        <f t="shared" si="30"/>
        <v>0</v>
      </c>
      <c r="AG108" s="1">
        <f t="shared" si="31"/>
        <v>0</v>
      </c>
      <c r="AH108" s="1">
        <f t="shared" si="32"/>
        <v>0</v>
      </c>
      <c r="AI108" s="1">
        <f t="shared" si="33"/>
        <v>183</v>
      </c>
      <c r="AJ108" s="3">
        <f t="shared" si="34"/>
        <v>0.5</v>
      </c>
      <c r="AK108" s="3">
        <f t="shared" si="35"/>
        <v>0.68352059925093644</v>
      </c>
      <c r="AL108" s="3">
        <f t="shared" si="36"/>
        <v>0</v>
      </c>
      <c r="AM108" s="3">
        <f t="shared" si="37"/>
        <v>0</v>
      </c>
      <c r="AN108" s="3">
        <f t="shared" si="38"/>
        <v>0</v>
      </c>
      <c r="AO108" s="3">
        <f t="shared" si="39"/>
        <v>0</v>
      </c>
      <c r="AP108" s="1" t="str">
        <f>INDEX({"EAD";"EAD";"EAD";"EAD MOOC";"EAD";"EAD";"EAD FP";"EAD";"PRESENCIAL";"PRESENCIAL";"PRESENCIAL";"PRESENCIAL"}, MATCH(CONCATENATE(E108, ".", F108),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9" spans="1:42" x14ac:dyDescent="0.25">
      <c r="A109" s="1" t="s">
        <v>27</v>
      </c>
      <c r="B109" s="1" t="s">
        <v>35</v>
      </c>
      <c r="C109" s="1" t="s">
        <v>29</v>
      </c>
      <c r="D109" s="1" t="s">
        <v>36</v>
      </c>
      <c r="E109" s="1" t="s">
        <v>120</v>
      </c>
      <c r="F109" s="1" t="s">
        <v>21</v>
      </c>
      <c r="G109" s="1" t="s">
        <v>121</v>
      </c>
      <c r="H109" s="1" t="s">
        <v>254</v>
      </c>
      <c r="I109" s="1" t="s">
        <v>107</v>
      </c>
      <c r="J109" s="1" t="s">
        <v>108</v>
      </c>
      <c r="K109" s="1" t="s">
        <v>109</v>
      </c>
      <c r="L109" s="1">
        <v>2470242</v>
      </c>
      <c r="M109" s="1" t="s">
        <v>265</v>
      </c>
      <c r="N109" s="5">
        <f>DATE(2018,2,1)</f>
        <v>43132</v>
      </c>
      <c r="O109" s="5">
        <f>DATE(2022,12,31)</f>
        <v>44926</v>
      </c>
      <c r="P109" s="5">
        <f t="shared" si="20"/>
        <v>46021</v>
      </c>
      <c r="Q109" s="1">
        <v>4500</v>
      </c>
      <c r="R109" s="1">
        <v>3600</v>
      </c>
      <c r="S109" s="1">
        <f t="shared" si="21"/>
        <v>3600</v>
      </c>
      <c r="T109" s="1">
        <v>2.5</v>
      </c>
      <c r="U109" s="1" t="str">
        <f t="shared" si="22"/>
        <v>SIM</v>
      </c>
      <c r="V109" s="1">
        <f t="shared" si="23"/>
        <v>1795</v>
      </c>
      <c r="W109" s="4">
        <f t="shared" si="24"/>
        <v>2.0055710306406684</v>
      </c>
      <c r="X109" s="4">
        <f t="shared" si="25"/>
        <v>732.03342618384397</v>
      </c>
      <c r="Y109" s="4">
        <f t="shared" si="26"/>
        <v>0.91504178272980496</v>
      </c>
      <c r="AB109" s="5">
        <f t="shared" si="27"/>
        <v>45292</v>
      </c>
      <c r="AC109" s="5">
        <f t="shared" si="28"/>
        <v>45657</v>
      </c>
      <c r="AD109" s="1">
        <v>9</v>
      </c>
      <c r="AE109" s="1">
        <f t="shared" si="29"/>
        <v>0</v>
      </c>
      <c r="AF109" s="1">
        <f t="shared" si="30"/>
        <v>0</v>
      </c>
      <c r="AG109" s="1">
        <f t="shared" si="31"/>
        <v>0</v>
      </c>
      <c r="AH109" s="1">
        <f t="shared" si="32"/>
        <v>0</v>
      </c>
      <c r="AI109" s="1">
        <f t="shared" si="33"/>
        <v>183</v>
      </c>
      <c r="AJ109" s="3">
        <f t="shared" si="34"/>
        <v>0.5</v>
      </c>
      <c r="AK109" s="3">
        <f t="shared" si="35"/>
        <v>0.45752089136490248</v>
      </c>
      <c r="AL109" s="3">
        <f t="shared" si="36"/>
        <v>2.0588440111420612</v>
      </c>
      <c r="AM109" s="3">
        <f t="shared" si="37"/>
        <v>5.1471100278551525</v>
      </c>
      <c r="AN109" s="3">
        <f t="shared" si="38"/>
        <v>2.5735550139275762</v>
      </c>
      <c r="AO109" s="3">
        <f t="shared" si="39"/>
        <v>7.7206650417827287</v>
      </c>
      <c r="AP109" s="1" t="str">
        <f>INDEX({"EAD";"EAD";"EAD";"EAD MOOC";"EAD";"EAD";"EAD FP";"EAD";"PRESENCIAL";"PRESENCIAL";"PRESENCIAL";"PRESENCIAL"}, MATCH(CONCATENATE(E109, ".", F109),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0" spans="1:42" x14ac:dyDescent="0.25">
      <c r="A110" s="1" t="s">
        <v>27</v>
      </c>
      <c r="B110" s="1" t="s">
        <v>35</v>
      </c>
      <c r="C110" s="1" t="s">
        <v>29</v>
      </c>
      <c r="D110" s="1" t="s">
        <v>36</v>
      </c>
      <c r="E110" s="1" t="s">
        <v>120</v>
      </c>
      <c r="F110" s="1" t="s">
        <v>21</v>
      </c>
      <c r="G110" s="1" t="s">
        <v>121</v>
      </c>
      <c r="H110" s="1" t="s">
        <v>254</v>
      </c>
      <c r="I110" s="1" t="s">
        <v>107</v>
      </c>
      <c r="J110" s="1" t="s">
        <v>108</v>
      </c>
      <c r="K110" s="1" t="s">
        <v>109</v>
      </c>
      <c r="L110" s="1">
        <v>2571591</v>
      </c>
      <c r="M110" s="1" t="s">
        <v>266</v>
      </c>
      <c r="N110" s="5">
        <f>DATE(2019,2,4)</f>
        <v>43500</v>
      </c>
      <c r="O110" s="5">
        <f>DATE(2023,12,31)</f>
        <v>45291</v>
      </c>
      <c r="P110" s="5">
        <f t="shared" si="20"/>
        <v>46386</v>
      </c>
      <c r="Q110" s="1">
        <v>4500</v>
      </c>
      <c r="R110" s="1">
        <v>3600</v>
      </c>
      <c r="S110" s="1">
        <f t="shared" si="21"/>
        <v>3600</v>
      </c>
      <c r="T110" s="1">
        <v>2.5</v>
      </c>
      <c r="U110" s="1" t="str">
        <f t="shared" si="22"/>
        <v>SIM</v>
      </c>
      <c r="V110" s="1">
        <f t="shared" si="23"/>
        <v>1792</v>
      </c>
      <c r="W110" s="4">
        <f t="shared" si="24"/>
        <v>2.0089285714285716</v>
      </c>
      <c r="X110" s="4">
        <f t="shared" si="25"/>
        <v>733.25892857142867</v>
      </c>
      <c r="Y110" s="4">
        <f t="shared" si="26"/>
        <v>0.91657366071428581</v>
      </c>
      <c r="AB110" s="5">
        <f t="shared" si="27"/>
        <v>45292</v>
      </c>
      <c r="AC110" s="5">
        <f t="shared" si="28"/>
        <v>45657</v>
      </c>
      <c r="AD110" s="1">
        <v>12</v>
      </c>
      <c r="AE110" s="1">
        <f t="shared" si="29"/>
        <v>0</v>
      </c>
      <c r="AF110" s="1">
        <f t="shared" si="30"/>
        <v>0</v>
      </c>
      <c r="AG110" s="1">
        <f t="shared" si="31"/>
        <v>0</v>
      </c>
      <c r="AH110" s="1">
        <f t="shared" si="32"/>
        <v>0</v>
      </c>
      <c r="AI110" s="1">
        <f t="shared" si="33"/>
        <v>183</v>
      </c>
      <c r="AJ110" s="3">
        <f t="shared" si="34"/>
        <v>0.5</v>
      </c>
      <c r="AK110" s="3">
        <f t="shared" si="35"/>
        <v>0.4582868303571429</v>
      </c>
      <c r="AL110" s="3">
        <f t="shared" si="36"/>
        <v>2.7497209821428577</v>
      </c>
      <c r="AM110" s="3">
        <f t="shared" si="37"/>
        <v>6.8743024553571441</v>
      </c>
      <c r="AN110" s="3">
        <f t="shared" si="38"/>
        <v>3.4371512276785721</v>
      </c>
      <c r="AO110" s="3">
        <f t="shared" si="39"/>
        <v>10.311453683035715</v>
      </c>
      <c r="AP110" s="1" t="str">
        <f>INDEX({"EAD";"EAD";"EAD";"EAD MOOC";"EAD";"EAD";"EAD FP";"EAD";"PRESENCIAL";"PRESENCIAL";"PRESENCIAL";"PRESENCIAL"}, MATCH(CONCATENATE(E110, ".", F110),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1" spans="1:42" x14ac:dyDescent="0.25">
      <c r="A111" s="1" t="s">
        <v>27</v>
      </c>
      <c r="B111" s="1" t="s">
        <v>35</v>
      </c>
      <c r="C111" s="1" t="s">
        <v>29</v>
      </c>
      <c r="D111" s="1" t="s">
        <v>36</v>
      </c>
      <c r="E111" s="1" t="s">
        <v>120</v>
      </c>
      <c r="F111" s="1" t="s">
        <v>21</v>
      </c>
      <c r="G111" s="1" t="s">
        <v>128</v>
      </c>
      <c r="H111" s="1" t="s">
        <v>132</v>
      </c>
      <c r="I111" s="1" t="s">
        <v>107</v>
      </c>
      <c r="J111" s="1" t="s">
        <v>108</v>
      </c>
      <c r="K111" s="1" t="s">
        <v>130</v>
      </c>
      <c r="L111" s="1">
        <v>2571695</v>
      </c>
      <c r="M111" s="1" t="s">
        <v>267</v>
      </c>
      <c r="N111" s="5">
        <f>DATE(2019,2,4)</f>
        <v>43500</v>
      </c>
      <c r="O111" s="5">
        <f>DATE(2021,12,17)</f>
        <v>44547</v>
      </c>
      <c r="P111" s="5">
        <f t="shared" si="20"/>
        <v>45642</v>
      </c>
      <c r="Q111" s="1">
        <v>3866</v>
      </c>
      <c r="R111" s="1">
        <v>1200</v>
      </c>
      <c r="S111" s="1">
        <f t="shared" si="21"/>
        <v>3200</v>
      </c>
      <c r="T111" s="1">
        <v>2.5</v>
      </c>
      <c r="U111" s="1" t="str">
        <f t="shared" si="22"/>
        <v>SIM</v>
      </c>
      <c r="V111" s="1">
        <f t="shared" si="23"/>
        <v>1048</v>
      </c>
      <c r="W111" s="4">
        <f t="shared" si="24"/>
        <v>3.053435114503817</v>
      </c>
      <c r="X111" s="4">
        <f t="shared" si="25"/>
        <v>1114.5038167938933</v>
      </c>
      <c r="Y111" s="4">
        <f t="shared" si="26"/>
        <v>1.3931297709923667</v>
      </c>
      <c r="AB111" s="5">
        <f t="shared" si="27"/>
        <v>45292</v>
      </c>
      <c r="AC111" s="5">
        <f t="shared" si="28"/>
        <v>45657</v>
      </c>
      <c r="AD111" s="1">
        <v>2</v>
      </c>
      <c r="AE111" s="1">
        <f t="shared" si="29"/>
        <v>0</v>
      </c>
      <c r="AF111" s="1">
        <f t="shared" si="30"/>
        <v>0</v>
      </c>
      <c r="AG111" s="1">
        <f t="shared" si="31"/>
        <v>0</v>
      </c>
      <c r="AH111" s="1">
        <f t="shared" si="32"/>
        <v>0</v>
      </c>
      <c r="AI111" s="1">
        <f t="shared" si="33"/>
        <v>183</v>
      </c>
      <c r="AJ111" s="3">
        <f t="shared" si="34"/>
        <v>0.5</v>
      </c>
      <c r="AK111" s="3">
        <f t="shared" si="35"/>
        <v>0.69656488549618334</v>
      </c>
      <c r="AL111" s="3">
        <f t="shared" si="36"/>
        <v>0.69656488549618334</v>
      </c>
      <c r="AM111" s="3">
        <f t="shared" si="37"/>
        <v>1.7414122137404584</v>
      </c>
      <c r="AN111" s="3">
        <f t="shared" si="38"/>
        <v>0.8707061068702292</v>
      </c>
      <c r="AO111" s="3">
        <f t="shared" si="39"/>
        <v>2.6121183206106875</v>
      </c>
      <c r="AP111" s="1" t="str">
        <f>INDEX({"EAD";"EAD";"EAD";"EAD MOOC";"EAD";"EAD";"EAD FP";"EAD";"PRESENCIAL";"PRESENCIAL";"PRESENCIAL";"PRESENCIAL"}, MATCH(CONCATENATE(E111, ".", F111),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2" spans="1:42" x14ac:dyDescent="0.25">
      <c r="A112" s="1" t="s">
        <v>27</v>
      </c>
      <c r="B112" s="1" t="s">
        <v>35</v>
      </c>
      <c r="C112" s="1" t="s">
        <v>29</v>
      </c>
      <c r="D112" s="1" t="s">
        <v>36</v>
      </c>
      <c r="E112" s="1" t="s">
        <v>120</v>
      </c>
      <c r="F112" s="1" t="s">
        <v>21</v>
      </c>
      <c r="G112" s="1" t="s">
        <v>128</v>
      </c>
      <c r="H112" s="1" t="s">
        <v>208</v>
      </c>
      <c r="I112" s="1" t="s">
        <v>209</v>
      </c>
      <c r="J112" s="1" t="s">
        <v>125</v>
      </c>
      <c r="K112" s="1" t="s">
        <v>130</v>
      </c>
      <c r="L112" s="1">
        <v>2571696</v>
      </c>
      <c r="M112" s="1" t="s">
        <v>268</v>
      </c>
      <c r="N112" s="5">
        <f>DATE(2019,2,4)</f>
        <v>43500</v>
      </c>
      <c r="O112" s="5">
        <f>DATE(2021,12,13)</f>
        <v>44543</v>
      </c>
      <c r="P112" s="5">
        <f t="shared" si="20"/>
        <v>45638</v>
      </c>
      <c r="Q112" s="1">
        <v>3628</v>
      </c>
      <c r="R112" s="1">
        <v>1200</v>
      </c>
      <c r="S112" s="1">
        <f t="shared" si="21"/>
        <v>3200</v>
      </c>
      <c r="T112" s="1">
        <v>1.5</v>
      </c>
      <c r="U112" s="1" t="str">
        <f t="shared" si="22"/>
        <v>SIM</v>
      </c>
      <c r="V112" s="1">
        <f t="shared" si="23"/>
        <v>1044</v>
      </c>
      <c r="W112" s="4">
        <f t="shared" si="24"/>
        <v>3.0651340996168583</v>
      </c>
      <c r="X112" s="4">
        <f t="shared" si="25"/>
        <v>1118.7739463601533</v>
      </c>
      <c r="Y112" s="4">
        <f t="shared" si="26"/>
        <v>1.3984674329501916</v>
      </c>
      <c r="AB112" s="5">
        <f t="shared" si="27"/>
        <v>45292</v>
      </c>
      <c r="AC112" s="5">
        <f t="shared" si="28"/>
        <v>45657</v>
      </c>
      <c r="AD112" s="1">
        <v>1</v>
      </c>
      <c r="AE112" s="1">
        <f t="shared" si="29"/>
        <v>0</v>
      </c>
      <c r="AF112" s="1">
        <f t="shared" si="30"/>
        <v>0</v>
      </c>
      <c r="AG112" s="1">
        <f t="shared" si="31"/>
        <v>0</v>
      </c>
      <c r="AH112" s="1">
        <f t="shared" si="32"/>
        <v>0</v>
      </c>
      <c r="AI112" s="1">
        <f t="shared" si="33"/>
        <v>183</v>
      </c>
      <c r="AJ112" s="3">
        <f t="shared" si="34"/>
        <v>0.5</v>
      </c>
      <c r="AK112" s="3">
        <f t="shared" si="35"/>
        <v>0.6992337164750958</v>
      </c>
      <c r="AL112" s="3">
        <f t="shared" si="36"/>
        <v>0.3496168582375479</v>
      </c>
      <c r="AM112" s="3">
        <f t="shared" si="37"/>
        <v>0.52442528735632188</v>
      </c>
      <c r="AN112" s="3">
        <f t="shared" si="38"/>
        <v>0</v>
      </c>
      <c r="AO112" s="3">
        <f t="shared" si="39"/>
        <v>0.52442528735632188</v>
      </c>
      <c r="AP112" s="1" t="str">
        <f>INDEX({"EAD";"EAD";"EAD";"EAD MOOC";"EAD";"EAD";"EAD FP";"EAD";"PRESENCIAL";"PRESENCIAL";"PRESENCIAL";"PRESENCIAL"}, MATCH(CONCATENATE(E112, ".", F112),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3" spans="1:42" x14ac:dyDescent="0.25">
      <c r="A113" s="1" t="s">
        <v>27</v>
      </c>
      <c r="B113" s="1" t="s">
        <v>35</v>
      </c>
      <c r="C113" s="1" t="s">
        <v>29</v>
      </c>
      <c r="D113" s="1" t="s">
        <v>36</v>
      </c>
      <c r="E113" s="1" t="s">
        <v>120</v>
      </c>
      <c r="F113" s="1" t="s">
        <v>21</v>
      </c>
      <c r="G113" s="1" t="s">
        <v>128</v>
      </c>
      <c r="H113" s="1" t="s">
        <v>132</v>
      </c>
      <c r="I113" s="1" t="s">
        <v>107</v>
      </c>
      <c r="J113" s="1" t="s">
        <v>108</v>
      </c>
      <c r="K113" s="1" t="s">
        <v>163</v>
      </c>
      <c r="L113" s="1">
        <v>2637838</v>
      </c>
      <c r="M113" s="1" t="s">
        <v>269</v>
      </c>
      <c r="N113" s="5">
        <f>DATE(2019,8,22)</f>
        <v>43699</v>
      </c>
      <c r="O113" s="5">
        <f>DATE(2020,12,31)</f>
        <v>44196</v>
      </c>
      <c r="P113" s="5">
        <f t="shared" si="20"/>
        <v>45291</v>
      </c>
      <c r="Q113" s="1">
        <v>1418</v>
      </c>
      <c r="R113" s="1">
        <v>1200</v>
      </c>
      <c r="S113" s="1">
        <f t="shared" si="21"/>
        <v>1200</v>
      </c>
      <c r="T113" s="1">
        <v>2.5</v>
      </c>
      <c r="U113" s="1" t="str">
        <f t="shared" si="22"/>
        <v>NÃO</v>
      </c>
      <c r="V113" s="1">
        <f t="shared" si="23"/>
        <v>498</v>
      </c>
      <c r="W113" s="4">
        <f t="shared" si="24"/>
        <v>2.4096385542168677</v>
      </c>
      <c r="X113" s="4">
        <f t="shared" si="25"/>
        <v>879.51807228915675</v>
      </c>
      <c r="Y113" s="4">
        <f t="shared" si="26"/>
        <v>1.0993975903614459</v>
      </c>
      <c r="AB113" s="5">
        <f t="shared" si="27"/>
        <v>45292</v>
      </c>
      <c r="AC113" s="5">
        <f t="shared" si="28"/>
        <v>45657</v>
      </c>
      <c r="AD113" s="1">
        <v>1</v>
      </c>
      <c r="AE113" s="1">
        <f t="shared" si="29"/>
        <v>0</v>
      </c>
      <c r="AF113" s="1">
        <f t="shared" si="30"/>
        <v>0</v>
      </c>
      <c r="AG113" s="1">
        <f t="shared" si="31"/>
        <v>0</v>
      </c>
      <c r="AH113" s="1">
        <f t="shared" si="32"/>
        <v>0</v>
      </c>
      <c r="AI113" s="1">
        <f t="shared" si="33"/>
        <v>183</v>
      </c>
      <c r="AJ113" s="3">
        <f t="shared" si="34"/>
        <v>0.5</v>
      </c>
      <c r="AK113" s="3">
        <f t="shared" si="35"/>
        <v>0.54969879518072295</v>
      </c>
      <c r="AL113" s="3">
        <f t="shared" si="36"/>
        <v>0</v>
      </c>
      <c r="AM113" s="3">
        <f t="shared" si="37"/>
        <v>0</v>
      </c>
      <c r="AN113" s="3">
        <f t="shared" si="38"/>
        <v>0</v>
      </c>
      <c r="AO113" s="3">
        <f t="shared" si="39"/>
        <v>0</v>
      </c>
      <c r="AP113" s="1" t="str">
        <f>INDEX({"EAD";"EAD";"EAD";"EAD MOOC";"EAD";"EAD";"EAD FP";"EAD";"PRESENCIAL";"PRESENCIAL";"PRESENCIAL";"PRESENCIAL"}, MATCH(CONCATENATE(E113, ".", F113),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4" spans="1:42" x14ac:dyDescent="0.25">
      <c r="A114" s="1" t="s">
        <v>27</v>
      </c>
      <c r="B114" s="1" t="s">
        <v>35</v>
      </c>
      <c r="C114" s="1" t="s">
        <v>29</v>
      </c>
      <c r="D114" s="1" t="s">
        <v>36</v>
      </c>
      <c r="E114" s="1" t="s">
        <v>120</v>
      </c>
      <c r="F114" s="1" t="s">
        <v>21</v>
      </c>
      <c r="G114" s="1" t="s">
        <v>128</v>
      </c>
      <c r="H114" s="1" t="s">
        <v>132</v>
      </c>
      <c r="I114" s="1" t="s">
        <v>107</v>
      </c>
      <c r="J114" s="1" t="s">
        <v>108</v>
      </c>
      <c r="K114" s="1" t="s">
        <v>130</v>
      </c>
      <c r="L114" s="1">
        <v>2678778</v>
      </c>
      <c r="M114" s="1" t="s">
        <v>270</v>
      </c>
      <c r="N114" s="5">
        <f>DATE(2020,2,3)</f>
        <v>43864</v>
      </c>
      <c r="O114" s="5">
        <f>DATE(2022,2,18)</f>
        <v>44610</v>
      </c>
      <c r="P114" s="5">
        <f t="shared" si="20"/>
        <v>45705</v>
      </c>
      <c r="Q114" s="1">
        <v>3866</v>
      </c>
      <c r="R114" s="1">
        <v>1200</v>
      </c>
      <c r="S114" s="1">
        <f t="shared" si="21"/>
        <v>3200</v>
      </c>
      <c r="T114" s="1">
        <v>2.5</v>
      </c>
      <c r="U114" s="1" t="str">
        <f t="shared" si="22"/>
        <v>SIM</v>
      </c>
      <c r="V114" s="1">
        <f t="shared" si="23"/>
        <v>747</v>
      </c>
      <c r="W114" s="4">
        <f t="shared" si="24"/>
        <v>4.2838018741633199</v>
      </c>
      <c r="X114" s="4">
        <f t="shared" si="25"/>
        <v>1563.5876840696117</v>
      </c>
      <c r="Y114" s="4">
        <f t="shared" si="26"/>
        <v>1.9544846050870146</v>
      </c>
      <c r="AB114" s="5">
        <f t="shared" si="27"/>
        <v>45292</v>
      </c>
      <c r="AC114" s="5">
        <f t="shared" si="28"/>
        <v>45657</v>
      </c>
      <c r="AD114" s="1">
        <v>6</v>
      </c>
      <c r="AE114" s="1">
        <f t="shared" si="29"/>
        <v>0</v>
      </c>
      <c r="AF114" s="1">
        <f t="shared" si="30"/>
        <v>0</v>
      </c>
      <c r="AG114" s="1">
        <f t="shared" si="31"/>
        <v>0</v>
      </c>
      <c r="AH114" s="1">
        <f t="shared" si="32"/>
        <v>0</v>
      </c>
      <c r="AI114" s="1">
        <f t="shared" si="33"/>
        <v>183</v>
      </c>
      <c r="AJ114" s="3">
        <f t="shared" si="34"/>
        <v>0.5</v>
      </c>
      <c r="AK114" s="3">
        <f t="shared" si="35"/>
        <v>0.9772423025435073</v>
      </c>
      <c r="AL114" s="3">
        <f t="shared" si="36"/>
        <v>2.9317269076305221</v>
      </c>
      <c r="AM114" s="3">
        <f t="shared" si="37"/>
        <v>7.3293172690763058</v>
      </c>
      <c r="AN114" s="3">
        <f t="shared" si="38"/>
        <v>3.6646586345381529</v>
      </c>
      <c r="AO114" s="3">
        <f t="shared" si="39"/>
        <v>10.993975903614459</v>
      </c>
      <c r="AP114" s="1" t="str">
        <f>INDEX({"EAD";"EAD";"EAD";"EAD MOOC";"EAD";"EAD";"EAD FP";"EAD";"PRESENCIAL";"PRESENCIAL";"PRESENCIAL";"PRESENCIAL"}, MATCH(CONCATENATE(E114, ".", F114),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5" spans="1:42" x14ac:dyDescent="0.25">
      <c r="A115" s="1" t="s">
        <v>27</v>
      </c>
      <c r="B115" s="1" t="s">
        <v>35</v>
      </c>
      <c r="C115" s="1" t="s">
        <v>29</v>
      </c>
      <c r="D115" s="1" t="s">
        <v>36</v>
      </c>
      <c r="E115" s="1" t="s">
        <v>120</v>
      </c>
      <c r="F115" s="1" t="s">
        <v>21</v>
      </c>
      <c r="G115" s="1" t="s">
        <v>128</v>
      </c>
      <c r="H115" s="1" t="s">
        <v>208</v>
      </c>
      <c r="I115" s="1" t="s">
        <v>209</v>
      </c>
      <c r="J115" s="1" t="s">
        <v>125</v>
      </c>
      <c r="K115" s="1" t="s">
        <v>130</v>
      </c>
      <c r="L115" s="1">
        <v>2678781</v>
      </c>
      <c r="M115" s="1" t="s">
        <v>271</v>
      </c>
      <c r="N115" s="5">
        <f>DATE(2020,2,3)</f>
        <v>43864</v>
      </c>
      <c r="O115" s="5">
        <f>DATE(2022,2,18)</f>
        <v>44610</v>
      </c>
      <c r="P115" s="5">
        <f t="shared" si="20"/>
        <v>45705</v>
      </c>
      <c r="Q115" s="1">
        <v>3628</v>
      </c>
      <c r="R115" s="1">
        <v>1200</v>
      </c>
      <c r="S115" s="1">
        <f t="shared" si="21"/>
        <v>3200</v>
      </c>
      <c r="T115" s="1">
        <v>1.5</v>
      </c>
      <c r="U115" s="1" t="str">
        <f t="shared" si="22"/>
        <v>SIM</v>
      </c>
      <c r="V115" s="1">
        <f t="shared" si="23"/>
        <v>747</v>
      </c>
      <c r="W115" s="4">
        <f t="shared" si="24"/>
        <v>4.2838018741633199</v>
      </c>
      <c r="X115" s="4">
        <f t="shared" si="25"/>
        <v>1563.5876840696117</v>
      </c>
      <c r="Y115" s="4">
        <f t="shared" si="26"/>
        <v>1.9544846050870146</v>
      </c>
      <c r="AB115" s="5">
        <f t="shared" si="27"/>
        <v>45292</v>
      </c>
      <c r="AC115" s="5">
        <f t="shared" si="28"/>
        <v>45657</v>
      </c>
      <c r="AD115" s="1">
        <v>1</v>
      </c>
      <c r="AE115" s="1">
        <f t="shared" si="29"/>
        <v>0</v>
      </c>
      <c r="AF115" s="1">
        <f t="shared" si="30"/>
        <v>0</v>
      </c>
      <c r="AG115" s="1">
        <f t="shared" si="31"/>
        <v>0</v>
      </c>
      <c r="AH115" s="1">
        <f t="shared" si="32"/>
        <v>0</v>
      </c>
      <c r="AI115" s="1">
        <f t="shared" si="33"/>
        <v>183</v>
      </c>
      <c r="AJ115" s="3">
        <f t="shared" si="34"/>
        <v>0.5</v>
      </c>
      <c r="AK115" s="3">
        <f t="shared" si="35"/>
        <v>0.9772423025435073</v>
      </c>
      <c r="AL115" s="3">
        <f t="shared" si="36"/>
        <v>0.48862115127175365</v>
      </c>
      <c r="AM115" s="3">
        <f t="shared" si="37"/>
        <v>0.73293172690763053</v>
      </c>
      <c r="AN115" s="3">
        <f t="shared" si="38"/>
        <v>0</v>
      </c>
      <c r="AO115" s="3">
        <f t="shared" si="39"/>
        <v>0.73293172690763053</v>
      </c>
      <c r="AP115" s="1" t="str">
        <f>INDEX({"EAD";"EAD";"EAD";"EAD MOOC";"EAD";"EAD";"EAD FP";"EAD";"PRESENCIAL";"PRESENCIAL";"PRESENCIAL";"PRESENCIAL"}, MATCH(CONCATENATE(E115, ".", F115),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6" spans="1:42" x14ac:dyDescent="0.25">
      <c r="A116" s="1" t="s">
        <v>27</v>
      </c>
      <c r="B116" s="1" t="s">
        <v>35</v>
      </c>
      <c r="C116" s="1" t="s">
        <v>29</v>
      </c>
      <c r="D116" s="1" t="s">
        <v>36</v>
      </c>
      <c r="E116" s="1" t="s">
        <v>120</v>
      </c>
      <c r="F116" s="1" t="s">
        <v>21</v>
      </c>
      <c r="G116" s="1" t="s">
        <v>128</v>
      </c>
      <c r="H116" s="1" t="s">
        <v>132</v>
      </c>
      <c r="I116" s="1" t="s">
        <v>107</v>
      </c>
      <c r="J116" s="1" t="s">
        <v>108</v>
      </c>
      <c r="K116" s="1" t="s">
        <v>163</v>
      </c>
      <c r="L116" s="1">
        <v>2679680</v>
      </c>
      <c r="M116" s="1" t="s">
        <v>272</v>
      </c>
      <c r="N116" s="5">
        <f>DATE(2020,2,3)</f>
        <v>43864</v>
      </c>
      <c r="O116" s="5">
        <f>DATE(2021,7,31)</f>
        <v>44408</v>
      </c>
      <c r="P116" s="5">
        <f t="shared" si="20"/>
        <v>45503</v>
      </c>
      <c r="Q116" s="1">
        <v>1418</v>
      </c>
      <c r="R116" s="1">
        <v>1200</v>
      </c>
      <c r="S116" s="1">
        <f t="shared" si="21"/>
        <v>1200</v>
      </c>
      <c r="T116" s="1">
        <v>2.5</v>
      </c>
      <c r="U116" s="1" t="str">
        <f t="shared" si="22"/>
        <v>SIM</v>
      </c>
      <c r="V116" s="1">
        <f t="shared" si="23"/>
        <v>545</v>
      </c>
      <c r="W116" s="4">
        <f t="shared" si="24"/>
        <v>2.2018348623853212</v>
      </c>
      <c r="X116" s="4">
        <f t="shared" si="25"/>
        <v>803.66972477064223</v>
      </c>
      <c r="Y116" s="4">
        <f t="shared" si="26"/>
        <v>1.0045871559633028</v>
      </c>
      <c r="AB116" s="5">
        <f t="shared" si="27"/>
        <v>45292</v>
      </c>
      <c r="AC116" s="5">
        <f t="shared" si="28"/>
        <v>45657</v>
      </c>
      <c r="AD116" s="1">
        <v>1</v>
      </c>
      <c r="AE116" s="1">
        <f t="shared" si="29"/>
        <v>0</v>
      </c>
      <c r="AF116" s="1">
        <f t="shared" si="30"/>
        <v>0</v>
      </c>
      <c r="AG116" s="1">
        <f t="shared" si="31"/>
        <v>0</v>
      </c>
      <c r="AH116" s="1">
        <f t="shared" si="32"/>
        <v>0</v>
      </c>
      <c r="AI116" s="1">
        <f t="shared" si="33"/>
        <v>183</v>
      </c>
      <c r="AJ116" s="3">
        <f t="shared" si="34"/>
        <v>0.5</v>
      </c>
      <c r="AK116" s="3">
        <f t="shared" si="35"/>
        <v>0.50229357798165142</v>
      </c>
      <c r="AL116" s="3">
        <f t="shared" si="36"/>
        <v>0.25114678899082571</v>
      </c>
      <c r="AM116" s="3">
        <f t="shared" si="37"/>
        <v>0.62786697247706424</v>
      </c>
      <c r="AN116" s="3">
        <f t="shared" si="38"/>
        <v>0.31393348623853212</v>
      </c>
      <c r="AO116" s="3">
        <f t="shared" si="39"/>
        <v>0.94180045871559637</v>
      </c>
      <c r="AP116" s="1" t="str">
        <f>INDEX({"EAD";"EAD";"EAD";"EAD MOOC";"EAD";"EAD";"EAD FP";"EAD";"PRESENCIAL";"PRESENCIAL";"PRESENCIAL";"PRESENCIAL"}, MATCH(CONCATENATE(E116, ".", F116),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7" spans="1:42" x14ac:dyDescent="0.25">
      <c r="A117" s="1" t="s">
        <v>27</v>
      </c>
      <c r="B117" s="1" t="s">
        <v>35</v>
      </c>
      <c r="C117" s="1" t="s">
        <v>29</v>
      </c>
      <c r="D117" s="1" t="s">
        <v>36</v>
      </c>
      <c r="E117" s="1" t="s">
        <v>120</v>
      </c>
      <c r="F117" s="1" t="s">
        <v>21</v>
      </c>
      <c r="G117" s="1" t="s">
        <v>121</v>
      </c>
      <c r="H117" s="1" t="s">
        <v>254</v>
      </c>
      <c r="I117" s="1" t="s">
        <v>107</v>
      </c>
      <c r="J117" s="1" t="s">
        <v>108</v>
      </c>
      <c r="K117" s="1" t="s">
        <v>109</v>
      </c>
      <c r="L117" s="1">
        <v>2679681</v>
      </c>
      <c r="M117" s="1" t="s">
        <v>273</v>
      </c>
      <c r="N117" s="5">
        <f>DATE(2020,2,3)</f>
        <v>43864</v>
      </c>
      <c r="O117" s="5">
        <f>DATE(2024,12,31)</f>
        <v>45657</v>
      </c>
      <c r="P117" s="5">
        <f t="shared" si="20"/>
        <v>46752</v>
      </c>
      <c r="Q117" s="1">
        <v>4500</v>
      </c>
      <c r="R117" s="1">
        <v>3600</v>
      </c>
      <c r="S117" s="1">
        <f t="shared" si="21"/>
        <v>3600</v>
      </c>
      <c r="T117" s="1">
        <v>2.5</v>
      </c>
      <c r="U117" s="1" t="str">
        <f t="shared" si="22"/>
        <v>SIM</v>
      </c>
      <c r="V117" s="1">
        <f t="shared" si="23"/>
        <v>1794</v>
      </c>
      <c r="W117" s="4">
        <f t="shared" si="24"/>
        <v>2.0066889632107023</v>
      </c>
      <c r="X117" s="4">
        <f t="shared" si="25"/>
        <v>732.44147157190639</v>
      </c>
      <c r="Y117" s="4">
        <f t="shared" si="26"/>
        <v>0.91555183946488294</v>
      </c>
      <c r="AB117" s="5">
        <f t="shared" si="27"/>
        <v>45292</v>
      </c>
      <c r="AC117" s="5">
        <f t="shared" si="28"/>
        <v>45657</v>
      </c>
      <c r="AD117" s="1">
        <v>9</v>
      </c>
      <c r="AE117" s="1">
        <f t="shared" si="29"/>
        <v>0</v>
      </c>
      <c r="AF117" s="1">
        <f t="shared" si="30"/>
        <v>0</v>
      </c>
      <c r="AG117" s="1">
        <f t="shared" si="31"/>
        <v>366</v>
      </c>
      <c r="AH117" s="1">
        <f t="shared" si="32"/>
        <v>0</v>
      </c>
      <c r="AI117" s="1">
        <f t="shared" si="33"/>
        <v>0</v>
      </c>
      <c r="AJ117" s="3">
        <f t="shared" si="34"/>
        <v>1</v>
      </c>
      <c r="AK117" s="3">
        <f t="shared" si="35"/>
        <v>0.91555183946488294</v>
      </c>
      <c r="AL117" s="3">
        <f t="shared" si="36"/>
        <v>8.2399665551839458</v>
      </c>
      <c r="AM117" s="3">
        <f t="shared" si="37"/>
        <v>20.599916387959865</v>
      </c>
      <c r="AN117" s="3">
        <f t="shared" si="38"/>
        <v>10.299958193979933</v>
      </c>
      <c r="AO117" s="3">
        <f t="shared" si="39"/>
        <v>30.899874581939798</v>
      </c>
      <c r="AP117" s="1" t="str">
        <f>INDEX({"EAD";"EAD";"EAD";"EAD MOOC";"EAD";"EAD";"EAD FP";"EAD";"PRESENCIAL";"PRESENCIAL";"PRESENCIAL";"PRESENCIAL"}, MATCH(CONCATENATE(E117, ".", F117),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8" spans="1:42" x14ac:dyDescent="0.25">
      <c r="A118" s="1" t="s">
        <v>27</v>
      </c>
      <c r="B118" s="1" t="s">
        <v>35</v>
      </c>
      <c r="C118" s="1" t="s">
        <v>29</v>
      </c>
      <c r="D118" s="1" t="s">
        <v>36</v>
      </c>
      <c r="E118" s="1" t="s">
        <v>120</v>
      </c>
      <c r="F118" s="1" t="s">
        <v>21</v>
      </c>
      <c r="G118" s="1" t="s">
        <v>128</v>
      </c>
      <c r="H118" s="1" t="s">
        <v>132</v>
      </c>
      <c r="I118" s="1" t="s">
        <v>107</v>
      </c>
      <c r="J118" s="1" t="s">
        <v>108</v>
      </c>
      <c r="K118" s="1" t="s">
        <v>130</v>
      </c>
      <c r="L118" s="1">
        <v>2747768</v>
      </c>
      <c r="M118" s="1" t="s">
        <v>274</v>
      </c>
      <c r="N118" s="5">
        <f>DATE(2021,3,15)</f>
        <v>44270</v>
      </c>
      <c r="O118" s="5">
        <f>DATE(2023,12,31)</f>
        <v>45291</v>
      </c>
      <c r="P118" s="5">
        <f t="shared" si="20"/>
        <v>46386</v>
      </c>
      <c r="Q118" s="1">
        <v>3866</v>
      </c>
      <c r="R118" s="1">
        <v>1200</v>
      </c>
      <c r="S118" s="1">
        <f t="shared" si="21"/>
        <v>3200</v>
      </c>
      <c r="T118" s="1">
        <v>2.5</v>
      </c>
      <c r="U118" s="1" t="str">
        <f t="shared" si="22"/>
        <v>SIM</v>
      </c>
      <c r="V118" s="1">
        <f t="shared" si="23"/>
        <v>1022</v>
      </c>
      <c r="W118" s="4">
        <f t="shared" si="24"/>
        <v>3.131115459882583</v>
      </c>
      <c r="X118" s="4">
        <f t="shared" si="25"/>
        <v>1142.8571428571429</v>
      </c>
      <c r="Y118" s="4">
        <f t="shared" si="26"/>
        <v>1.4285714285714286</v>
      </c>
      <c r="AB118" s="5">
        <f t="shared" si="27"/>
        <v>45292</v>
      </c>
      <c r="AC118" s="5">
        <f t="shared" si="28"/>
        <v>45657</v>
      </c>
      <c r="AD118" s="1">
        <v>10</v>
      </c>
      <c r="AE118" s="1">
        <f t="shared" si="29"/>
        <v>0</v>
      </c>
      <c r="AF118" s="1">
        <f t="shared" si="30"/>
        <v>0</v>
      </c>
      <c r="AG118" s="1">
        <f t="shared" si="31"/>
        <v>0</v>
      </c>
      <c r="AH118" s="1">
        <f t="shared" si="32"/>
        <v>0</v>
      </c>
      <c r="AI118" s="1">
        <f t="shared" si="33"/>
        <v>183</v>
      </c>
      <c r="AJ118" s="3">
        <f t="shared" si="34"/>
        <v>0.5</v>
      </c>
      <c r="AK118" s="3">
        <f t="shared" si="35"/>
        <v>0.7142857142857143</v>
      </c>
      <c r="AL118" s="3">
        <f t="shared" si="36"/>
        <v>3.5714285714285716</v>
      </c>
      <c r="AM118" s="3">
        <f t="shared" si="37"/>
        <v>8.9285714285714288</v>
      </c>
      <c r="AN118" s="3">
        <f t="shared" si="38"/>
        <v>4.4642857142857144</v>
      </c>
      <c r="AO118" s="3">
        <f t="shared" si="39"/>
        <v>13.392857142857142</v>
      </c>
      <c r="AP118" s="1" t="str">
        <f>INDEX({"EAD";"EAD";"EAD";"EAD MOOC";"EAD";"EAD";"EAD FP";"EAD";"PRESENCIAL";"PRESENCIAL";"PRESENCIAL";"PRESENCIAL"}, MATCH(CONCATENATE(E118, ".", F118),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9" spans="1:42" x14ac:dyDescent="0.25">
      <c r="A119" s="1" t="s">
        <v>27</v>
      </c>
      <c r="B119" s="1" t="s">
        <v>35</v>
      </c>
      <c r="C119" s="1" t="s">
        <v>29</v>
      </c>
      <c r="D119" s="1" t="s">
        <v>36</v>
      </c>
      <c r="E119" s="1" t="s">
        <v>120</v>
      </c>
      <c r="F119" s="1" t="s">
        <v>21</v>
      </c>
      <c r="G119" s="1" t="s">
        <v>128</v>
      </c>
      <c r="H119" s="1" t="s">
        <v>208</v>
      </c>
      <c r="I119" s="1" t="s">
        <v>209</v>
      </c>
      <c r="J119" s="1" t="s">
        <v>125</v>
      </c>
      <c r="K119" s="1" t="s">
        <v>130</v>
      </c>
      <c r="L119" s="1">
        <v>2747769</v>
      </c>
      <c r="M119" s="1" t="s">
        <v>275</v>
      </c>
      <c r="N119" s="5">
        <f>DATE(2021,3,15)</f>
        <v>44270</v>
      </c>
      <c r="O119" s="5">
        <f>DATE(2023,12,31)</f>
        <v>45291</v>
      </c>
      <c r="P119" s="5">
        <f t="shared" si="20"/>
        <v>46386</v>
      </c>
      <c r="Q119" s="1">
        <v>3628</v>
      </c>
      <c r="R119" s="1">
        <v>1200</v>
      </c>
      <c r="S119" s="1">
        <f t="shared" si="21"/>
        <v>3200</v>
      </c>
      <c r="T119" s="1">
        <v>1.5</v>
      </c>
      <c r="U119" s="1" t="str">
        <f t="shared" si="22"/>
        <v>SIM</v>
      </c>
      <c r="V119" s="1">
        <f t="shared" si="23"/>
        <v>1022</v>
      </c>
      <c r="W119" s="4">
        <f t="shared" si="24"/>
        <v>3.131115459882583</v>
      </c>
      <c r="X119" s="4">
        <f t="shared" si="25"/>
        <v>1142.8571428571429</v>
      </c>
      <c r="Y119" s="4">
        <f t="shared" si="26"/>
        <v>1.4285714285714286</v>
      </c>
      <c r="AB119" s="5">
        <f t="shared" si="27"/>
        <v>45292</v>
      </c>
      <c r="AC119" s="5">
        <f t="shared" si="28"/>
        <v>45657</v>
      </c>
      <c r="AD119" s="1">
        <v>8</v>
      </c>
      <c r="AE119" s="1">
        <f t="shared" si="29"/>
        <v>0</v>
      </c>
      <c r="AF119" s="1">
        <f t="shared" si="30"/>
        <v>0</v>
      </c>
      <c r="AG119" s="1">
        <f t="shared" si="31"/>
        <v>0</v>
      </c>
      <c r="AH119" s="1">
        <f t="shared" si="32"/>
        <v>0</v>
      </c>
      <c r="AI119" s="1">
        <f t="shared" si="33"/>
        <v>183</v>
      </c>
      <c r="AJ119" s="3">
        <f t="shared" si="34"/>
        <v>0.5</v>
      </c>
      <c r="AK119" s="3">
        <f t="shared" si="35"/>
        <v>0.7142857142857143</v>
      </c>
      <c r="AL119" s="3">
        <f t="shared" si="36"/>
        <v>2.8571428571428572</v>
      </c>
      <c r="AM119" s="3">
        <f t="shared" si="37"/>
        <v>4.2857142857142856</v>
      </c>
      <c r="AN119" s="3">
        <f t="shared" si="38"/>
        <v>0</v>
      </c>
      <c r="AO119" s="3">
        <f t="shared" si="39"/>
        <v>4.2857142857142856</v>
      </c>
      <c r="AP119" s="1" t="str">
        <f>INDEX({"EAD";"EAD";"EAD";"EAD MOOC";"EAD";"EAD";"EAD FP";"EAD";"PRESENCIAL";"PRESENCIAL";"PRESENCIAL";"PRESENCIAL"}, MATCH(CONCATENATE(E119, ".", F119),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0" spans="1:42" x14ac:dyDescent="0.25">
      <c r="A120" s="1" t="s">
        <v>27</v>
      </c>
      <c r="B120" s="1" t="s">
        <v>35</v>
      </c>
      <c r="C120" s="1" t="s">
        <v>29</v>
      </c>
      <c r="D120" s="1" t="s">
        <v>36</v>
      </c>
      <c r="E120" s="1" t="s">
        <v>120</v>
      </c>
      <c r="F120" s="1" t="s">
        <v>21</v>
      </c>
      <c r="G120" s="1" t="s">
        <v>128</v>
      </c>
      <c r="H120" s="1" t="s">
        <v>132</v>
      </c>
      <c r="I120" s="1" t="s">
        <v>107</v>
      </c>
      <c r="J120" s="1" t="s">
        <v>108</v>
      </c>
      <c r="K120" s="1" t="s">
        <v>163</v>
      </c>
      <c r="L120" s="1">
        <v>2747770</v>
      </c>
      <c r="M120" s="1" t="s">
        <v>276</v>
      </c>
      <c r="N120" s="5">
        <f>DATE(2021,3,15)</f>
        <v>44270</v>
      </c>
      <c r="O120" s="5">
        <f>DATE(2022,7,15)</f>
        <v>44757</v>
      </c>
      <c r="P120" s="5">
        <f t="shared" si="20"/>
        <v>45852</v>
      </c>
      <c r="Q120" s="1">
        <v>1600</v>
      </c>
      <c r="R120" s="1">
        <v>1200</v>
      </c>
      <c r="S120" s="1">
        <f t="shared" si="21"/>
        <v>1200</v>
      </c>
      <c r="T120" s="1">
        <v>2.5</v>
      </c>
      <c r="U120" s="1" t="str">
        <f t="shared" si="22"/>
        <v>SIM</v>
      </c>
      <c r="V120" s="1">
        <f t="shared" si="23"/>
        <v>488</v>
      </c>
      <c r="W120" s="4">
        <f t="shared" si="24"/>
        <v>2.459016393442623</v>
      </c>
      <c r="X120" s="4">
        <f t="shared" si="25"/>
        <v>897.54098360655735</v>
      </c>
      <c r="Y120" s="4">
        <f t="shared" si="26"/>
        <v>1.1219262295081966</v>
      </c>
      <c r="AB120" s="5">
        <f t="shared" si="27"/>
        <v>45292</v>
      </c>
      <c r="AC120" s="5">
        <f t="shared" si="28"/>
        <v>45657</v>
      </c>
      <c r="AD120" s="1">
        <v>5</v>
      </c>
      <c r="AE120" s="1">
        <f t="shared" si="29"/>
        <v>0</v>
      </c>
      <c r="AF120" s="1">
        <f t="shared" si="30"/>
        <v>0</v>
      </c>
      <c r="AG120" s="1">
        <f t="shared" si="31"/>
        <v>0</v>
      </c>
      <c r="AH120" s="1">
        <f t="shared" si="32"/>
        <v>0</v>
      </c>
      <c r="AI120" s="1">
        <f t="shared" si="33"/>
        <v>183</v>
      </c>
      <c r="AJ120" s="3">
        <f t="shared" si="34"/>
        <v>0.5</v>
      </c>
      <c r="AK120" s="3">
        <f t="shared" si="35"/>
        <v>0.56096311475409832</v>
      </c>
      <c r="AL120" s="3">
        <f t="shared" si="36"/>
        <v>1.4024077868852458</v>
      </c>
      <c r="AM120" s="3">
        <f t="shared" si="37"/>
        <v>3.5060194672131146</v>
      </c>
      <c r="AN120" s="3">
        <f t="shared" si="38"/>
        <v>1.7530097336065573</v>
      </c>
      <c r="AO120" s="3">
        <f t="shared" si="39"/>
        <v>5.259029200819672</v>
      </c>
      <c r="AP120" s="1" t="str">
        <f>INDEX({"EAD";"EAD";"EAD";"EAD MOOC";"EAD";"EAD";"EAD FP";"EAD";"PRESENCIAL";"PRESENCIAL";"PRESENCIAL";"PRESENCIAL"}, MATCH(CONCATENATE(E120, ".", F120),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1" spans="1:42" x14ac:dyDescent="0.25">
      <c r="A121" s="1" t="s">
        <v>27</v>
      </c>
      <c r="B121" s="1" t="s">
        <v>35</v>
      </c>
      <c r="C121" s="1" t="s">
        <v>29</v>
      </c>
      <c r="D121" s="1" t="s">
        <v>36</v>
      </c>
      <c r="E121" s="1" t="s">
        <v>120</v>
      </c>
      <c r="F121" s="1" t="s">
        <v>21</v>
      </c>
      <c r="G121" s="1" t="s">
        <v>121</v>
      </c>
      <c r="H121" s="1" t="s">
        <v>254</v>
      </c>
      <c r="I121" s="1" t="s">
        <v>107</v>
      </c>
      <c r="J121" s="1" t="s">
        <v>108</v>
      </c>
      <c r="K121" s="1" t="s">
        <v>109</v>
      </c>
      <c r="L121" s="1">
        <v>2747771</v>
      </c>
      <c r="M121" s="1" t="s">
        <v>277</v>
      </c>
      <c r="N121" s="5">
        <f>DATE(2021,3,15)</f>
        <v>44270</v>
      </c>
      <c r="O121" s="5">
        <f>DATE(2025,12,31)</f>
        <v>46022</v>
      </c>
      <c r="P121" s="5">
        <f t="shared" si="20"/>
        <v>47117</v>
      </c>
      <c r="Q121" s="1">
        <v>4500</v>
      </c>
      <c r="R121" s="1">
        <v>3600</v>
      </c>
      <c r="S121" s="1">
        <f t="shared" si="21"/>
        <v>3600</v>
      </c>
      <c r="T121" s="1">
        <v>2.5</v>
      </c>
      <c r="U121" s="1" t="str">
        <f t="shared" si="22"/>
        <v>SIM</v>
      </c>
      <c r="V121" s="1">
        <f t="shared" si="23"/>
        <v>1753</v>
      </c>
      <c r="W121" s="4">
        <f t="shared" si="24"/>
        <v>2.0536223616657159</v>
      </c>
      <c r="X121" s="4">
        <f t="shared" si="25"/>
        <v>749.57216200798632</v>
      </c>
      <c r="Y121" s="4">
        <f t="shared" si="26"/>
        <v>0.93696520250998294</v>
      </c>
      <c r="AB121" s="5">
        <f t="shared" si="27"/>
        <v>45292</v>
      </c>
      <c r="AC121" s="5">
        <f t="shared" si="28"/>
        <v>45657</v>
      </c>
      <c r="AD121" s="1">
        <v>13</v>
      </c>
      <c r="AE121" s="1">
        <f t="shared" si="29"/>
        <v>366</v>
      </c>
      <c r="AF121" s="1">
        <f t="shared" si="30"/>
        <v>0</v>
      </c>
      <c r="AG121" s="1">
        <f t="shared" si="31"/>
        <v>0</v>
      </c>
      <c r="AH121" s="1">
        <f t="shared" si="32"/>
        <v>0</v>
      </c>
      <c r="AI121" s="1">
        <f t="shared" si="33"/>
        <v>0</v>
      </c>
      <c r="AJ121" s="3">
        <f t="shared" si="34"/>
        <v>1</v>
      </c>
      <c r="AK121" s="3">
        <f t="shared" si="35"/>
        <v>0.93696520250998294</v>
      </c>
      <c r="AL121" s="3">
        <f t="shared" si="36"/>
        <v>12.180547632629779</v>
      </c>
      <c r="AM121" s="3">
        <f t="shared" si="37"/>
        <v>30.451369081574448</v>
      </c>
      <c r="AN121" s="3">
        <f t="shared" si="38"/>
        <v>15.225684540787224</v>
      </c>
      <c r="AO121" s="3">
        <f t="shared" si="39"/>
        <v>45.677053622361669</v>
      </c>
      <c r="AP121" s="1" t="str">
        <f>INDEX({"EAD";"EAD";"EAD";"EAD MOOC";"EAD";"EAD";"EAD FP";"EAD";"PRESENCIAL";"PRESENCIAL";"PRESENCIAL";"PRESENCIAL"}, MATCH(CONCATENATE(E121, ".", F121),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2" spans="1:42" x14ac:dyDescent="0.25">
      <c r="A122" s="1" t="s">
        <v>27</v>
      </c>
      <c r="B122" s="1" t="s">
        <v>35</v>
      </c>
      <c r="C122" s="1" t="s">
        <v>29</v>
      </c>
      <c r="D122" s="1" t="s">
        <v>36</v>
      </c>
      <c r="E122" s="1" t="s">
        <v>120</v>
      </c>
      <c r="F122" s="1" t="s">
        <v>21</v>
      </c>
      <c r="G122" s="1" t="s">
        <v>278</v>
      </c>
      <c r="H122" s="1" t="s">
        <v>279</v>
      </c>
      <c r="I122" s="1" t="s">
        <v>172</v>
      </c>
      <c r="J122" s="1" t="s">
        <v>125</v>
      </c>
      <c r="K122" s="1" t="s">
        <v>109</v>
      </c>
      <c r="L122" s="1">
        <v>2816951</v>
      </c>
      <c r="M122" s="1" t="s">
        <v>280</v>
      </c>
      <c r="N122" s="5">
        <f>DATE(2021,10,1)</f>
        <v>44470</v>
      </c>
      <c r="O122" s="5">
        <f>DATE(2025,7,31)</f>
        <v>45869</v>
      </c>
      <c r="P122" s="5">
        <f t="shared" si="20"/>
        <v>46964</v>
      </c>
      <c r="Q122" s="1">
        <v>3200</v>
      </c>
      <c r="R122" s="1">
        <v>3200</v>
      </c>
      <c r="S122" s="1">
        <f t="shared" si="21"/>
        <v>3200</v>
      </c>
      <c r="T122" s="1">
        <v>2.5</v>
      </c>
      <c r="U122" s="1" t="str">
        <f t="shared" si="22"/>
        <v>SIM</v>
      </c>
      <c r="V122" s="1">
        <f t="shared" si="23"/>
        <v>1400</v>
      </c>
      <c r="W122" s="4">
        <f t="shared" si="24"/>
        <v>2.2857142857142856</v>
      </c>
      <c r="X122" s="4">
        <f t="shared" si="25"/>
        <v>834.28571428571422</v>
      </c>
      <c r="Y122" s="4">
        <f t="shared" si="26"/>
        <v>1.0428571428571427</v>
      </c>
      <c r="AB122" s="5">
        <f t="shared" si="27"/>
        <v>45292</v>
      </c>
      <c r="AC122" s="5">
        <f t="shared" si="28"/>
        <v>45657</v>
      </c>
      <c r="AD122" s="1">
        <v>34</v>
      </c>
      <c r="AE122" s="1">
        <f t="shared" si="29"/>
        <v>366</v>
      </c>
      <c r="AF122" s="1">
        <f t="shared" si="30"/>
        <v>0</v>
      </c>
      <c r="AG122" s="1">
        <f t="shared" si="31"/>
        <v>0</v>
      </c>
      <c r="AH122" s="1">
        <f t="shared" si="32"/>
        <v>0</v>
      </c>
      <c r="AI122" s="1">
        <f t="shared" si="33"/>
        <v>0</v>
      </c>
      <c r="AJ122" s="3">
        <f t="shared" si="34"/>
        <v>1</v>
      </c>
      <c r="AK122" s="3">
        <f t="shared" si="35"/>
        <v>1.0428571428571427</v>
      </c>
      <c r="AL122" s="3">
        <f t="shared" si="36"/>
        <v>35.457142857142856</v>
      </c>
      <c r="AM122" s="3">
        <f t="shared" si="37"/>
        <v>88.642857142857139</v>
      </c>
      <c r="AN122" s="3">
        <f t="shared" si="38"/>
        <v>0</v>
      </c>
      <c r="AO122" s="3">
        <f t="shared" si="39"/>
        <v>88.642857142857139</v>
      </c>
      <c r="AP122" s="1" t="str">
        <f>INDEX({"EAD";"EAD";"EAD";"EAD MOOC";"EAD";"EAD";"EAD FP";"EAD";"PRESENCIAL";"PRESENCIAL";"PRESENCIAL";"PRESENCIAL"}, MATCH(CONCATENATE(E122, ".", F122),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3" spans="1:42" x14ac:dyDescent="0.25">
      <c r="A123" s="1" t="s">
        <v>27</v>
      </c>
      <c r="B123" s="1" t="s">
        <v>35</v>
      </c>
      <c r="C123" s="1" t="s">
        <v>29</v>
      </c>
      <c r="D123" s="1" t="s">
        <v>36</v>
      </c>
      <c r="E123" s="1" t="s">
        <v>120</v>
      </c>
      <c r="F123" s="1" t="s">
        <v>21</v>
      </c>
      <c r="G123" s="1" t="s">
        <v>128</v>
      </c>
      <c r="H123" s="1" t="s">
        <v>132</v>
      </c>
      <c r="I123" s="1" t="s">
        <v>107</v>
      </c>
      <c r="J123" s="1" t="s">
        <v>108</v>
      </c>
      <c r="K123" s="1" t="s">
        <v>163</v>
      </c>
      <c r="L123" s="1">
        <v>2816924</v>
      </c>
      <c r="M123" s="1" t="s">
        <v>281</v>
      </c>
      <c r="N123" s="5">
        <f>DATE(2021,10,2)</f>
        <v>44471</v>
      </c>
      <c r="O123" s="5">
        <f>DATE(2022,7,31)</f>
        <v>44773</v>
      </c>
      <c r="P123" s="5">
        <f t="shared" si="20"/>
        <v>45868</v>
      </c>
      <c r="Q123" s="1">
        <v>1418</v>
      </c>
      <c r="R123" s="1">
        <v>1200</v>
      </c>
      <c r="S123" s="1">
        <f t="shared" si="21"/>
        <v>1200</v>
      </c>
      <c r="T123" s="1">
        <v>2.5</v>
      </c>
      <c r="U123" s="1" t="str">
        <f t="shared" si="22"/>
        <v>SIM</v>
      </c>
      <c r="V123" s="1">
        <f t="shared" si="23"/>
        <v>303</v>
      </c>
      <c r="W123" s="4">
        <f t="shared" si="24"/>
        <v>3.9603960396039604</v>
      </c>
      <c r="X123" s="4">
        <f t="shared" si="25"/>
        <v>1200</v>
      </c>
      <c r="Y123" s="4">
        <f t="shared" si="26"/>
        <v>1.5</v>
      </c>
      <c r="AB123" s="5">
        <f t="shared" si="27"/>
        <v>45292</v>
      </c>
      <c r="AC123" s="5">
        <f t="shared" si="28"/>
        <v>45657</v>
      </c>
      <c r="AD123" s="1">
        <v>5</v>
      </c>
      <c r="AE123" s="1">
        <f t="shared" si="29"/>
        <v>0</v>
      </c>
      <c r="AF123" s="1">
        <f t="shared" si="30"/>
        <v>0</v>
      </c>
      <c r="AG123" s="1">
        <f t="shared" si="31"/>
        <v>0</v>
      </c>
      <c r="AH123" s="1">
        <f t="shared" si="32"/>
        <v>0</v>
      </c>
      <c r="AI123" s="1">
        <f t="shared" si="33"/>
        <v>183</v>
      </c>
      <c r="AJ123" s="3">
        <f t="shared" si="34"/>
        <v>0.60396039603960394</v>
      </c>
      <c r="AK123" s="3">
        <f t="shared" si="35"/>
        <v>0.90594059405940586</v>
      </c>
      <c r="AL123" s="3">
        <f t="shared" si="36"/>
        <v>2.2648514851485144</v>
      </c>
      <c r="AM123" s="3">
        <f t="shared" si="37"/>
        <v>5.6621287128712865</v>
      </c>
      <c r="AN123" s="3">
        <f t="shared" si="38"/>
        <v>2.8310643564356432</v>
      </c>
      <c r="AO123" s="3">
        <f t="shared" si="39"/>
        <v>8.4931930693069297</v>
      </c>
      <c r="AP123" s="1" t="str">
        <f>INDEX({"EAD";"EAD";"EAD";"EAD MOOC";"EAD";"EAD";"EAD FP";"EAD";"PRESENCIAL";"PRESENCIAL";"PRESENCIAL";"PRESENCIAL"}, MATCH(CONCATENATE(E123, ".", F123),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4" spans="1:42" x14ac:dyDescent="0.25">
      <c r="A124" s="1" t="s">
        <v>27</v>
      </c>
      <c r="B124" s="1" t="s">
        <v>35</v>
      </c>
      <c r="C124" s="1" t="s">
        <v>29</v>
      </c>
      <c r="D124" s="1" t="s">
        <v>36</v>
      </c>
      <c r="E124" s="1" t="s">
        <v>120</v>
      </c>
      <c r="F124" s="1" t="s">
        <v>21</v>
      </c>
      <c r="G124" s="1" t="s">
        <v>128</v>
      </c>
      <c r="H124" s="1" t="s">
        <v>132</v>
      </c>
      <c r="I124" s="1" t="s">
        <v>107</v>
      </c>
      <c r="J124" s="1" t="s">
        <v>108</v>
      </c>
      <c r="K124" s="1" t="s">
        <v>130</v>
      </c>
      <c r="L124" s="1">
        <v>2843235</v>
      </c>
      <c r="M124" s="1" t="s">
        <v>282</v>
      </c>
      <c r="N124" s="5">
        <f>DATE(2022,2,1)</f>
        <v>44593</v>
      </c>
      <c r="O124" s="5">
        <f>DATE(2024,12,31)</f>
        <v>45657</v>
      </c>
      <c r="P124" s="5">
        <f t="shared" si="20"/>
        <v>46752</v>
      </c>
      <c r="Q124" s="1">
        <v>3706</v>
      </c>
      <c r="R124" s="1">
        <v>1200</v>
      </c>
      <c r="S124" s="1">
        <f t="shared" si="21"/>
        <v>3200</v>
      </c>
      <c r="T124" s="1">
        <v>2.5</v>
      </c>
      <c r="U124" s="1" t="str">
        <f t="shared" si="22"/>
        <v>SIM</v>
      </c>
      <c r="V124" s="1">
        <f t="shared" si="23"/>
        <v>1065</v>
      </c>
      <c r="W124" s="4">
        <f t="shared" si="24"/>
        <v>3.004694835680751</v>
      </c>
      <c r="X124" s="4">
        <f t="shared" si="25"/>
        <v>1096.7136150234742</v>
      </c>
      <c r="Y124" s="4">
        <f t="shared" si="26"/>
        <v>1.3708920187793427</v>
      </c>
      <c r="AB124" s="5">
        <f t="shared" si="27"/>
        <v>45292</v>
      </c>
      <c r="AC124" s="5">
        <f t="shared" si="28"/>
        <v>45657</v>
      </c>
      <c r="AD124" s="1">
        <v>66</v>
      </c>
      <c r="AE124" s="1">
        <f t="shared" si="29"/>
        <v>0</v>
      </c>
      <c r="AF124" s="1">
        <f t="shared" si="30"/>
        <v>0</v>
      </c>
      <c r="AG124" s="1">
        <f t="shared" si="31"/>
        <v>366</v>
      </c>
      <c r="AH124" s="1">
        <f t="shared" si="32"/>
        <v>0</v>
      </c>
      <c r="AI124" s="1">
        <f t="shared" si="33"/>
        <v>0</v>
      </c>
      <c r="AJ124" s="3">
        <f t="shared" si="34"/>
        <v>1</v>
      </c>
      <c r="AK124" s="3">
        <f t="shared" si="35"/>
        <v>1.3708920187793427</v>
      </c>
      <c r="AL124" s="3">
        <f t="shared" si="36"/>
        <v>90.478873239436624</v>
      </c>
      <c r="AM124" s="3">
        <f t="shared" si="37"/>
        <v>226.19718309859155</v>
      </c>
      <c r="AN124" s="3">
        <f t="shared" si="38"/>
        <v>113.09859154929578</v>
      </c>
      <c r="AO124" s="3">
        <f t="shared" si="39"/>
        <v>339.29577464788736</v>
      </c>
      <c r="AP124" s="1" t="str">
        <f>INDEX({"EAD";"EAD";"EAD";"EAD MOOC";"EAD";"EAD";"EAD FP";"EAD";"PRESENCIAL";"PRESENCIAL";"PRESENCIAL";"PRESENCIAL"}, MATCH(CONCATENATE(E124, ".", F124),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5" spans="1:42" x14ac:dyDescent="0.25">
      <c r="A125" s="1" t="s">
        <v>27</v>
      </c>
      <c r="B125" s="1" t="s">
        <v>35</v>
      </c>
      <c r="C125" s="1" t="s">
        <v>29</v>
      </c>
      <c r="D125" s="1" t="s">
        <v>36</v>
      </c>
      <c r="E125" s="1" t="s">
        <v>120</v>
      </c>
      <c r="F125" s="1" t="s">
        <v>21</v>
      </c>
      <c r="G125" s="1" t="s">
        <v>128</v>
      </c>
      <c r="H125" s="1" t="s">
        <v>208</v>
      </c>
      <c r="I125" s="1" t="s">
        <v>209</v>
      </c>
      <c r="J125" s="1" t="s">
        <v>125</v>
      </c>
      <c r="K125" s="1" t="s">
        <v>130</v>
      </c>
      <c r="L125" s="1">
        <v>2843242</v>
      </c>
      <c r="M125" s="1" t="s">
        <v>283</v>
      </c>
      <c r="N125" s="5">
        <f>DATE(2022,2,1)</f>
        <v>44593</v>
      </c>
      <c r="O125" s="5">
        <f>DATE(2024,12,31)</f>
        <v>45657</v>
      </c>
      <c r="P125" s="5">
        <f t="shared" si="20"/>
        <v>46752</v>
      </c>
      <c r="Q125" s="1">
        <v>3628</v>
      </c>
      <c r="R125" s="1">
        <v>1200</v>
      </c>
      <c r="S125" s="1">
        <f t="shared" si="21"/>
        <v>3200</v>
      </c>
      <c r="T125" s="1">
        <v>1.5</v>
      </c>
      <c r="U125" s="1" t="str">
        <f t="shared" si="22"/>
        <v>SIM</v>
      </c>
      <c r="V125" s="1">
        <f t="shared" si="23"/>
        <v>1065</v>
      </c>
      <c r="W125" s="4">
        <f t="shared" si="24"/>
        <v>3.004694835680751</v>
      </c>
      <c r="X125" s="4">
        <f t="shared" si="25"/>
        <v>1096.7136150234742</v>
      </c>
      <c r="Y125" s="4">
        <f t="shared" si="26"/>
        <v>1.3708920187793427</v>
      </c>
      <c r="AB125" s="5">
        <f t="shared" si="27"/>
        <v>45292</v>
      </c>
      <c r="AC125" s="5">
        <f t="shared" si="28"/>
        <v>45657</v>
      </c>
      <c r="AD125" s="1">
        <v>47</v>
      </c>
      <c r="AE125" s="1">
        <f t="shared" si="29"/>
        <v>0</v>
      </c>
      <c r="AF125" s="1">
        <f t="shared" si="30"/>
        <v>0</v>
      </c>
      <c r="AG125" s="1">
        <f t="shared" si="31"/>
        <v>366</v>
      </c>
      <c r="AH125" s="1">
        <f t="shared" si="32"/>
        <v>0</v>
      </c>
      <c r="AI125" s="1">
        <f t="shared" si="33"/>
        <v>0</v>
      </c>
      <c r="AJ125" s="3">
        <f t="shared" si="34"/>
        <v>1</v>
      </c>
      <c r="AK125" s="3">
        <f t="shared" si="35"/>
        <v>1.3708920187793427</v>
      </c>
      <c r="AL125" s="3">
        <f t="shared" si="36"/>
        <v>64.431924882629104</v>
      </c>
      <c r="AM125" s="3">
        <f t="shared" si="37"/>
        <v>96.64788732394365</v>
      </c>
      <c r="AN125" s="3">
        <f t="shared" si="38"/>
        <v>0</v>
      </c>
      <c r="AO125" s="3">
        <f t="shared" si="39"/>
        <v>96.64788732394365</v>
      </c>
      <c r="AP125" s="1" t="str">
        <f>INDEX({"EAD";"EAD";"EAD";"EAD MOOC";"EAD";"EAD";"EAD FP";"EAD";"PRESENCIAL";"PRESENCIAL";"PRESENCIAL";"PRESENCIAL"}, MATCH(CONCATENATE(E125, ".", F125),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6" spans="1:42" x14ac:dyDescent="0.25">
      <c r="A126" s="1" t="s">
        <v>27</v>
      </c>
      <c r="B126" s="1" t="s">
        <v>35</v>
      </c>
      <c r="C126" s="1" t="s">
        <v>29</v>
      </c>
      <c r="D126" s="1" t="s">
        <v>36</v>
      </c>
      <c r="E126" s="1" t="s">
        <v>120</v>
      </c>
      <c r="F126" s="1" t="s">
        <v>21</v>
      </c>
      <c r="G126" s="1" t="s">
        <v>128</v>
      </c>
      <c r="H126" s="1" t="s">
        <v>132</v>
      </c>
      <c r="I126" s="1" t="s">
        <v>107</v>
      </c>
      <c r="J126" s="1" t="s">
        <v>108</v>
      </c>
      <c r="K126" s="1" t="s">
        <v>163</v>
      </c>
      <c r="L126" s="1">
        <v>2844917</v>
      </c>
      <c r="M126" s="1" t="s">
        <v>284</v>
      </c>
      <c r="N126" s="5">
        <f>DATE(2022,2,1)</f>
        <v>44593</v>
      </c>
      <c r="O126" s="5">
        <f>DATE(2023,7,31)</f>
        <v>45138</v>
      </c>
      <c r="P126" s="5">
        <f t="shared" si="20"/>
        <v>46233</v>
      </c>
      <c r="Q126" s="1">
        <v>1418</v>
      </c>
      <c r="R126" s="1">
        <v>1200</v>
      </c>
      <c r="S126" s="1">
        <f t="shared" si="21"/>
        <v>1200</v>
      </c>
      <c r="T126" s="1">
        <v>2.5</v>
      </c>
      <c r="U126" s="1" t="str">
        <f t="shared" si="22"/>
        <v>SIM</v>
      </c>
      <c r="V126" s="1">
        <f t="shared" si="23"/>
        <v>546</v>
      </c>
      <c r="W126" s="4">
        <f t="shared" si="24"/>
        <v>2.197802197802198</v>
      </c>
      <c r="X126" s="4">
        <f t="shared" si="25"/>
        <v>802.19780219780228</v>
      </c>
      <c r="Y126" s="4">
        <f t="shared" si="26"/>
        <v>1.0027472527472527</v>
      </c>
      <c r="AB126" s="5">
        <f t="shared" si="27"/>
        <v>45292</v>
      </c>
      <c r="AC126" s="5">
        <f t="shared" si="28"/>
        <v>45657</v>
      </c>
      <c r="AD126" s="1">
        <v>4</v>
      </c>
      <c r="AE126" s="1">
        <f t="shared" si="29"/>
        <v>0</v>
      </c>
      <c r="AF126" s="1">
        <f t="shared" si="30"/>
        <v>0</v>
      </c>
      <c r="AG126" s="1">
        <f t="shared" si="31"/>
        <v>0</v>
      </c>
      <c r="AH126" s="1">
        <f t="shared" si="32"/>
        <v>0</v>
      </c>
      <c r="AI126" s="1">
        <f t="shared" si="33"/>
        <v>183</v>
      </c>
      <c r="AJ126" s="3">
        <f t="shared" si="34"/>
        <v>0.5</v>
      </c>
      <c r="AK126" s="3">
        <f t="shared" si="35"/>
        <v>0.50137362637362637</v>
      </c>
      <c r="AL126" s="3">
        <f t="shared" si="36"/>
        <v>1.0027472527472527</v>
      </c>
      <c r="AM126" s="3">
        <f t="shared" si="37"/>
        <v>2.5068681318681318</v>
      </c>
      <c r="AN126" s="3">
        <f t="shared" si="38"/>
        <v>1.2534340659340659</v>
      </c>
      <c r="AO126" s="3">
        <f t="shared" si="39"/>
        <v>3.760302197802198</v>
      </c>
      <c r="AP126" s="1" t="str">
        <f>INDEX({"EAD";"EAD";"EAD";"EAD MOOC";"EAD";"EAD";"EAD FP";"EAD";"PRESENCIAL";"PRESENCIAL";"PRESENCIAL";"PRESENCIAL"}, MATCH(CONCATENATE(E126, ".", F126),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7" spans="1:42" x14ac:dyDescent="0.25">
      <c r="A127" s="1" t="s">
        <v>27</v>
      </c>
      <c r="B127" s="1" t="s">
        <v>35</v>
      </c>
      <c r="C127" s="1" t="s">
        <v>29</v>
      </c>
      <c r="D127" s="1" t="s">
        <v>36</v>
      </c>
      <c r="E127" s="1" t="s">
        <v>120</v>
      </c>
      <c r="F127" s="1" t="s">
        <v>21</v>
      </c>
      <c r="G127" s="1" t="s">
        <v>278</v>
      </c>
      <c r="H127" s="1" t="s">
        <v>279</v>
      </c>
      <c r="I127" s="1" t="s">
        <v>172</v>
      </c>
      <c r="J127" s="1" t="s">
        <v>125</v>
      </c>
      <c r="K127" s="1" t="s">
        <v>109</v>
      </c>
      <c r="L127" s="1">
        <v>2844940</v>
      </c>
      <c r="M127" s="1" t="s">
        <v>285</v>
      </c>
      <c r="N127" s="5">
        <f>DATE(2022,2,1)</f>
        <v>44593</v>
      </c>
      <c r="O127" s="5">
        <f>DATE(2025,12,31)</f>
        <v>46022</v>
      </c>
      <c r="P127" s="5">
        <f t="shared" si="20"/>
        <v>47117</v>
      </c>
      <c r="Q127" s="1">
        <v>3200</v>
      </c>
      <c r="R127" s="1">
        <v>3200</v>
      </c>
      <c r="S127" s="1">
        <f t="shared" si="21"/>
        <v>3200</v>
      </c>
      <c r="T127" s="1">
        <v>2.5</v>
      </c>
      <c r="U127" s="1" t="str">
        <f t="shared" si="22"/>
        <v>SIM</v>
      </c>
      <c r="V127" s="1">
        <f t="shared" si="23"/>
        <v>1430</v>
      </c>
      <c r="W127" s="4">
        <f t="shared" si="24"/>
        <v>2.2377622377622379</v>
      </c>
      <c r="X127" s="4">
        <f t="shared" si="25"/>
        <v>816.78321678321686</v>
      </c>
      <c r="Y127" s="4">
        <f t="shared" si="26"/>
        <v>1.020979020979021</v>
      </c>
      <c r="AB127" s="5">
        <f t="shared" si="27"/>
        <v>45292</v>
      </c>
      <c r="AC127" s="5">
        <f t="shared" si="28"/>
        <v>45657</v>
      </c>
      <c r="AD127" s="1">
        <v>21</v>
      </c>
      <c r="AE127" s="1">
        <f t="shared" si="29"/>
        <v>366</v>
      </c>
      <c r="AF127" s="1">
        <f t="shared" si="30"/>
        <v>0</v>
      </c>
      <c r="AG127" s="1">
        <f t="shared" si="31"/>
        <v>0</v>
      </c>
      <c r="AH127" s="1">
        <f t="shared" si="32"/>
        <v>0</v>
      </c>
      <c r="AI127" s="1">
        <f t="shared" si="33"/>
        <v>0</v>
      </c>
      <c r="AJ127" s="3">
        <f t="shared" si="34"/>
        <v>1</v>
      </c>
      <c r="AK127" s="3">
        <f t="shared" si="35"/>
        <v>1.020979020979021</v>
      </c>
      <c r="AL127" s="3">
        <f t="shared" si="36"/>
        <v>21.440559440559444</v>
      </c>
      <c r="AM127" s="3">
        <f t="shared" si="37"/>
        <v>53.601398601398607</v>
      </c>
      <c r="AN127" s="3">
        <f t="shared" si="38"/>
        <v>0</v>
      </c>
      <c r="AO127" s="3">
        <f t="shared" si="39"/>
        <v>53.601398601398607</v>
      </c>
      <c r="AP127" s="1" t="str">
        <f>INDEX({"EAD";"EAD";"EAD";"EAD MOOC";"EAD";"EAD";"EAD FP";"EAD";"PRESENCIAL";"PRESENCIAL";"PRESENCIAL";"PRESENCIAL"}, MATCH(CONCATENATE(E127, ".", F127),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8" spans="1:42" x14ac:dyDescent="0.25">
      <c r="A128" s="1" t="s">
        <v>27</v>
      </c>
      <c r="B128" s="1" t="s">
        <v>35</v>
      </c>
      <c r="C128" s="1" t="s">
        <v>29</v>
      </c>
      <c r="D128" s="1" t="s">
        <v>36</v>
      </c>
      <c r="E128" s="1" t="s">
        <v>120</v>
      </c>
      <c r="F128" s="1" t="s">
        <v>21</v>
      </c>
      <c r="G128" s="1" t="s">
        <v>121</v>
      </c>
      <c r="H128" s="1" t="s">
        <v>254</v>
      </c>
      <c r="I128" s="1" t="s">
        <v>107</v>
      </c>
      <c r="J128" s="1" t="s">
        <v>108</v>
      </c>
      <c r="K128" s="1" t="s">
        <v>109</v>
      </c>
      <c r="L128" s="1">
        <v>2844941</v>
      </c>
      <c r="M128" s="1" t="s">
        <v>286</v>
      </c>
      <c r="N128" s="5">
        <f>DATE(2022,2,1)</f>
        <v>44593</v>
      </c>
      <c r="O128" s="5">
        <f>DATE(2026,12,31)</f>
        <v>46387</v>
      </c>
      <c r="P128" s="5">
        <f t="shared" si="20"/>
        <v>47482</v>
      </c>
      <c r="Q128" s="1">
        <v>4046</v>
      </c>
      <c r="R128" s="1">
        <v>3600</v>
      </c>
      <c r="S128" s="1">
        <f t="shared" si="21"/>
        <v>3600</v>
      </c>
      <c r="T128" s="1">
        <v>2.5</v>
      </c>
      <c r="U128" s="1" t="str">
        <f t="shared" si="22"/>
        <v>SIM</v>
      </c>
      <c r="V128" s="1">
        <f t="shared" si="23"/>
        <v>1795</v>
      </c>
      <c r="W128" s="4">
        <f t="shared" si="24"/>
        <v>2.0055710306406684</v>
      </c>
      <c r="X128" s="4">
        <f t="shared" si="25"/>
        <v>732.03342618384397</v>
      </c>
      <c r="Y128" s="4">
        <f t="shared" si="26"/>
        <v>0.91504178272980496</v>
      </c>
      <c r="AB128" s="5">
        <f t="shared" si="27"/>
        <v>45292</v>
      </c>
      <c r="AC128" s="5">
        <f t="shared" si="28"/>
        <v>45657</v>
      </c>
      <c r="AD128" s="1">
        <v>15</v>
      </c>
      <c r="AE128" s="1">
        <f t="shared" si="29"/>
        <v>366</v>
      </c>
      <c r="AF128" s="1">
        <f t="shared" si="30"/>
        <v>0</v>
      </c>
      <c r="AG128" s="1">
        <f t="shared" si="31"/>
        <v>0</v>
      </c>
      <c r="AH128" s="1">
        <f t="shared" si="32"/>
        <v>0</v>
      </c>
      <c r="AI128" s="1">
        <f t="shared" si="33"/>
        <v>0</v>
      </c>
      <c r="AJ128" s="3">
        <f t="shared" si="34"/>
        <v>1</v>
      </c>
      <c r="AK128" s="3">
        <f t="shared" si="35"/>
        <v>0.91504178272980496</v>
      </c>
      <c r="AL128" s="3">
        <f t="shared" si="36"/>
        <v>13.725626740947074</v>
      </c>
      <c r="AM128" s="3">
        <f t="shared" si="37"/>
        <v>34.314066852367688</v>
      </c>
      <c r="AN128" s="3">
        <f t="shared" si="38"/>
        <v>17.157033426183844</v>
      </c>
      <c r="AO128" s="3">
        <f t="shared" si="39"/>
        <v>51.471100278551532</v>
      </c>
      <c r="AP128" s="1" t="str">
        <f>INDEX({"EAD";"EAD";"EAD";"EAD MOOC";"EAD";"EAD";"EAD FP";"EAD";"PRESENCIAL";"PRESENCIAL";"PRESENCIAL";"PRESENCIAL"}, MATCH(CONCATENATE(E128, ".", F128),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9" spans="1:42" x14ac:dyDescent="0.25">
      <c r="A129" s="1" t="s">
        <v>27</v>
      </c>
      <c r="B129" s="1" t="s">
        <v>35</v>
      </c>
      <c r="C129" s="1" t="s">
        <v>29</v>
      </c>
      <c r="D129" s="1" t="s">
        <v>36</v>
      </c>
      <c r="E129" s="1" t="s">
        <v>120</v>
      </c>
      <c r="F129" s="1" t="s">
        <v>21</v>
      </c>
      <c r="G129" s="1" t="s">
        <v>128</v>
      </c>
      <c r="H129" s="1" t="s">
        <v>132</v>
      </c>
      <c r="I129" s="1" t="s">
        <v>107</v>
      </c>
      <c r="J129" s="1" t="s">
        <v>108</v>
      </c>
      <c r="K129" s="1" t="s">
        <v>163</v>
      </c>
      <c r="L129" s="1">
        <v>2889581</v>
      </c>
      <c r="M129" s="1" t="s">
        <v>287</v>
      </c>
      <c r="N129" s="5">
        <f>DATE(2022,7,25)</f>
        <v>44767</v>
      </c>
      <c r="O129" s="5">
        <f>DATE(2023,12,20)</f>
        <v>45280</v>
      </c>
      <c r="P129" s="5">
        <f t="shared" si="20"/>
        <v>46375</v>
      </c>
      <c r="Q129" s="1">
        <v>1600</v>
      </c>
      <c r="R129" s="1">
        <v>1200</v>
      </c>
      <c r="S129" s="1">
        <f t="shared" si="21"/>
        <v>1200</v>
      </c>
      <c r="T129" s="1">
        <v>2.5</v>
      </c>
      <c r="U129" s="1" t="str">
        <f t="shared" si="22"/>
        <v>SIM</v>
      </c>
      <c r="V129" s="1">
        <f t="shared" si="23"/>
        <v>514</v>
      </c>
      <c r="W129" s="4">
        <f t="shared" si="24"/>
        <v>2.3346303501945527</v>
      </c>
      <c r="X129" s="4">
        <f t="shared" si="25"/>
        <v>852.14007782101169</v>
      </c>
      <c r="Y129" s="4">
        <f t="shared" si="26"/>
        <v>1.0651750972762646</v>
      </c>
      <c r="AB129" s="5">
        <f t="shared" si="27"/>
        <v>45292</v>
      </c>
      <c r="AC129" s="5">
        <f t="shared" si="28"/>
        <v>45657</v>
      </c>
      <c r="AD129" s="1">
        <v>8</v>
      </c>
      <c r="AE129" s="1">
        <f t="shared" si="29"/>
        <v>0</v>
      </c>
      <c r="AF129" s="1">
        <f t="shared" si="30"/>
        <v>0</v>
      </c>
      <c r="AG129" s="1">
        <f t="shared" si="31"/>
        <v>0</v>
      </c>
      <c r="AH129" s="1">
        <f t="shared" si="32"/>
        <v>0</v>
      </c>
      <c r="AI129" s="1">
        <f t="shared" si="33"/>
        <v>183</v>
      </c>
      <c r="AJ129" s="3">
        <f t="shared" si="34"/>
        <v>0.5</v>
      </c>
      <c r="AK129" s="3">
        <f t="shared" si="35"/>
        <v>0.53258754863813229</v>
      </c>
      <c r="AL129" s="3">
        <f t="shared" si="36"/>
        <v>2.1303501945525292</v>
      </c>
      <c r="AM129" s="3">
        <f t="shared" si="37"/>
        <v>5.3258754863813227</v>
      </c>
      <c r="AN129" s="3">
        <f t="shared" si="38"/>
        <v>2.6629377431906613</v>
      </c>
      <c r="AO129" s="3">
        <f t="shared" si="39"/>
        <v>7.988813229571984</v>
      </c>
      <c r="AP129" s="1" t="str">
        <f>INDEX({"EAD";"EAD";"EAD";"EAD MOOC";"EAD";"EAD";"EAD FP";"EAD";"PRESENCIAL";"PRESENCIAL";"PRESENCIAL";"PRESENCIAL"}, MATCH(CONCATENATE(E129, ".", F129),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0" spans="1:42" x14ac:dyDescent="0.25">
      <c r="A130" s="1" t="s">
        <v>27</v>
      </c>
      <c r="B130" s="1" t="s">
        <v>35</v>
      </c>
      <c r="C130" s="1" t="s">
        <v>29</v>
      </c>
      <c r="D130" s="1" t="s">
        <v>36</v>
      </c>
      <c r="E130" s="1" t="s">
        <v>120</v>
      </c>
      <c r="F130" s="1" t="s">
        <v>21</v>
      </c>
      <c r="G130" s="1" t="s">
        <v>161</v>
      </c>
      <c r="H130" s="1" t="s">
        <v>288</v>
      </c>
      <c r="I130" s="1" t="s">
        <v>289</v>
      </c>
      <c r="J130" s="1" t="s">
        <v>125</v>
      </c>
      <c r="K130" s="1" t="s">
        <v>109</v>
      </c>
      <c r="L130" s="1">
        <v>2901737</v>
      </c>
      <c r="M130" s="1" t="s">
        <v>290</v>
      </c>
      <c r="N130" s="5">
        <f>DATE(2022,8,5)</f>
        <v>44778</v>
      </c>
      <c r="O130" s="5">
        <f>DATE(2022,11,5)</f>
        <v>44870</v>
      </c>
      <c r="P130" s="5">
        <f t="shared" si="20"/>
        <v>44870</v>
      </c>
      <c r="Q130" s="1">
        <v>200</v>
      </c>
      <c r="R130" s="1">
        <v>160</v>
      </c>
      <c r="S130" s="1">
        <f t="shared" si="21"/>
        <v>200</v>
      </c>
      <c r="T130" s="1">
        <v>1</v>
      </c>
      <c r="U130" s="1" t="str">
        <f t="shared" si="22"/>
        <v>NÃO</v>
      </c>
      <c r="V130" s="1">
        <f t="shared" si="23"/>
        <v>93</v>
      </c>
      <c r="W130" s="4">
        <f t="shared" si="24"/>
        <v>2.150537634408602</v>
      </c>
      <c r="X130" s="4">
        <f t="shared" si="25"/>
        <v>200</v>
      </c>
      <c r="Y130" s="4">
        <f t="shared" si="26"/>
        <v>0.25</v>
      </c>
      <c r="AB130" s="5">
        <f t="shared" si="27"/>
        <v>45292</v>
      </c>
      <c r="AC130" s="5">
        <f t="shared" si="28"/>
        <v>45657</v>
      </c>
      <c r="AD130" s="1">
        <v>20</v>
      </c>
      <c r="AE130" s="1">
        <f t="shared" si="29"/>
        <v>0</v>
      </c>
      <c r="AF130" s="1">
        <f t="shared" si="30"/>
        <v>0</v>
      </c>
      <c r="AG130" s="1">
        <f t="shared" si="31"/>
        <v>0</v>
      </c>
      <c r="AH130" s="1">
        <f t="shared" si="32"/>
        <v>0</v>
      </c>
      <c r="AI130" s="1">
        <f t="shared" si="33"/>
        <v>183</v>
      </c>
      <c r="AJ130" s="3">
        <f t="shared" si="34"/>
        <v>1.967741935483871</v>
      </c>
      <c r="AK130" s="3">
        <f t="shared" si="35"/>
        <v>0.49193548387096775</v>
      </c>
      <c r="AL130" s="3">
        <f t="shared" si="36"/>
        <v>0</v>
      </c>
      <c r="AM130" s="3">
        <f t="shared" si="37"/>
        <v>0</v>
      </c>
      <c r="AN130" s="3">
        <f t="shared" si="38"/>
        <v>0</v>
      </c>
      <c r="AO130" s="3">
        <f t="shared" si="39"/>
        <v>0</v>
      </c>
      <c r="AP130" s="1" t="str">
        <f>INDEX({"EAD";"EAD";"EAD";"EAD MOOC";"EAD";"EAD";"EAD FP";"EAD";"PRESENCIAL";"PRESENCIAL";"PRESENCIAL";"PRESENCIAL"}, MATCH(CONCATENATE(E130, ".", F130),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1" spans="1:42" x14ac:dyDescent="0.25">
      <c r="A131" s="1" t="s">
        <v>27</v>
      </c>
      <c r="B131" s="1" t="s">
        <v>35</v>
      </c>
      <c r="C131" s="1" t="s">
        <v>29</v>
      </c>
      <c r="D131" s="1" t="s">
        <v>36</v>
      </c>
      <c r="E131" s="1" t="s">
        <v>120</v>
      </c>
      <c r="F131" s="1" t="s">
        <v>21</v>
      </c>
      <c r="G131" s="1" t="s">
        <v>161</v>
      </c>
      <c r="H131" s="1" t="s">
        <v>291</v>
      </c>
      <c r="I131" s="1" t="s">
        <v>228</v>
      </c>
      <c r="J131" s="1" t="s">
        <v>125</v>
      </c>
      <c r="K131" s="1" t="s">
        <v>109</v>
      </c>
      <c r="L131" s="1">
        <v>2901738</v>
      </c>
      <c r="M131" s="1" t="s">
        <v>292</v>
      </c>
      <c r="N131" s="5">
        <f>DATE(2022,8,5)</f>
        <v>44778</v>
      </c>
      <c r="O131" s="5">
        <f>DATE(2022,11,5)</f>
        <v>44870</v>
      </c>
      <c r="P131" s="5">
        <f t="shared" si="20"/>
        <v>44870</v>
      </c>
      <c r="Q131" s="1">
        <v>200</v>
      </c>
      <c r="R131" s="1">
        <v>200</v>
      </c>
      <c r="S131" s="1">
        <f t="shared" si="21"/>
        <v>200</v>
      </c>
      <c r="T131" s="1">
        <v>1</v>
      </c>
      <c r="U131" s="1" t="str">
        <f t="shared" si="22"/>
        <v>NÃO</v>
      </c>
      <c r="V131" s="1">
        <f t="shared" si="23"/>
        <v>93</v>
      </c>
      <c r="W131" s="4">
        <f t="shared" si="24"/>
        <v>2.150537634408602</v>
      </c>
      <c r="X131" s="4">
        <f t="shared" si="25"/>
        <v>200</v>
      </c>
      <c r="Y131" s="4">
        <f t="shared" si="26"/>
        <v>0.25</v>
      </c>
      <c r="AB131" s="5">
        <f t="shared" si="27"/>
        <v>45292</v>
      </c>
      <c r="AC131" s="5">
        <f t="shared" si="28"/>
        <v>45657</v>
      </c>
      <c r="AD131" s="1">
        <v>19</v>
      </c>
      <c r="AE131" s="1">
        <f t="shared" si="29"/>
        <v>0</v>
      </c>
      <c r="AF131" s="1">
        <f t="shared" si="30"/>
        <v>0</v>
      </c>
      <c r="AG131" s="1">
        <f t="shared" si="31"/>
        <v>0</v>
      </c>
      <c r="AH131" s="1">
        <f t="shared" si="32"/>
        <v>0</v>
      </c>
      <c r="AI131" s="1">
        <f t="shared" si="33"/>
        <v>183</v>
      </c>
      <c r="AJ131" s="3">
        <f t="shared" si="34"/>
        <v>1.967741935483871</v>
      </c>
      <c r="AK131" s="3">
        <f t="shared" si="35"/>
        <v>0.49193548387096775</v>
      </c>
      <c r="AL131" s="3">
        <f t="shared" si="36"/>
        <v>0</v>
      </c>
      <c r="AM131" s="3">
        <f t="shared" si="37"/>
        <v>0</v>
      </c>
      <c r="AN131" s="3">
        <f t="shared" si="38"/>
        <v>0</v>
      </c>
      <c r="AO131" s="3">
        <f t="shared" si="39"/>
        <v>0</v>
      </c>
      <c r="AP131" s="1" t="str">
        <f>INDEX({"EAD";"EAD";"EAD";"EAD MOOC";"EAD";"EAD";"EAD FP";"EAD";"PRESENCIAL";"PRESENCIAL";"PRESENCIAL";"PRESENCIAL"}, MATCH(CONCATENATE(E131, ".", F131),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2" spans="1:42" x14ac:dyDescent="0.25">
      <c r="A132" s="1" t="s">
        <v>27</v>
      </c>
      <c r="B132" s="1" t="s">
        <v>35</v>
      </c>
      <c r="C132" s="1" t="s">
        <v>29</v>
      </c>
      <c r="D132" s="1" t="s">
        <v>36</v>
      </c>
      <c r="E132" s="1" t="s">
        <v>120</v>
      </c>
      <c r="F132" s="1" t="s">
        <v>21</v>
      </c>
      <c r="G132" s="1" t="s">
        <v>161</v>
      </c>
      <c r="H132" s="1" t="s">
        <v>293</v>
      </c>
      <c r="I132" s="1" t="s">
        <v>187</v>
      </c>
      <c r="J132" s="1" t="s">
        <v>125</v>
      </c>
      <c r="K132" s="1" t="s">
        <v>109</v>
      </c>
      <c r="L132" s="1">
        <v>2901739</v>
      </c>
      <c r="M132" s="1" t="s">
        <v>294</v>
      </c>
      <c r="N132" s="5">
        <f>DATE(2022,8,5)</f>
        <v>44778</v>
      </c>
      <c r="O132" s="5">
        <f>DATE(2022,11,5)</f>
        <v>44870</v>
      </c>
      <c r="P132" s="5">
        <f t="shared" ref="P132:P195" si="40">IF(G132="QUALIFICACAO PROFISSIONAL (FIC)",O132,O132+1095)</f>
        <v>44870</v>
      </c>
      <c r="Q132" s="1">
        <v>200</v>
      </c>
      <c r="R132" s="1">
        <v>200</v>
      </c>
      <c r="S132" s="1">
        <f t="shared" ref="S132:S195" si="41">IF(OR(G132="QUALIFICACAO PROFISSIONAL (FIC)",G132="DOUTORADO"),Q132,    IF(ISNUMBER(FIND("PROEJA",K132)),2400,        IF(K132="INTEGRADO",            IF(R132=800,3000,                IF(R132=1000,3100,                    IF(R132=1200,3200,R132)                )            ),            R132        )    ))</f>
        <v>200</v>
      </c>
      <c r="T132" s="1">
        <v>1</v>
      </c>
      <c r="U132" s="1" t="str">
        <f t="shared" ref="U132:U195" si="42">IF(P132&lt;AB132,"NÃO","SIM")</f>
        <v>NÃO</v>
      </c>
      <c r="V132" s="1">
        <f t="shared" ref="V132:V195" si="43">O132-N132+1</f>
        <v>93</v>
      </c>
      <c r="W132" s="4">
        <f t="shared" ref="W132:W195" si="44">IF(S132&gt;Q132,Q132,S132)/V132</f>
        <v>2.150537634408602</v>
      </c>
      <c r="X132" s="4">
        <f t="shared" ref="X132:X195" si="45">IF(V132&gt;365,W132*365,S132)</f>
        <v>200</v>
      </c>
      <c r="Y132" s="4">
        <f t="shared" ref="Y132:Y195" si="46">IF(V132&gt;365,X132/800,S132/800)</f>
        <v>0.25</v>
      </c>
      <c r="AB132" s="5">
        <f t="shared" ref="AB132:AB195" si="47">DATE(2024,1,1)</f>
        <v>45292</v>
      </c>
      <c r="AC132" s="5">
        <f t="shared" ref="AC132:AC195" si="48">DATE(2024,12,31)</f>
        <v>45657</v>
      </c>
      <c r="AD132" s="1">
        <v>21</v>
      </c>
      <c r="AE132" s="1">
        <f t="shared" ref="AE132:AE195" si="49">IF(AND(N132&lt;AB132,O132&gt;AC132),AC132-AB132+1,0)</f>
        <v>0</v>
      </c>
      <c r="AF132" s="1">
        <f t="shared" ref="AF132:AF195" si="50">IF(AND(N132&gt;=AB132,O132&gt;AC132,N132&lt;AC132),AC132-N132+1,0)</f>
        <v>0</v>
      </c>
      <c r="AG132" s="1">
        <f t="shared" ref="AG132:AG195" si="51">IF(AND(N132&lt;AB132,O132&lt;=AC132,O132&gt;=AB132),O132-AB132+1,0)</f>
        <v>0</v>
      </c>
      <c r="AH132" s="1">
        <f t="shared" ref="AH132:AH195" si="52">IF(AND(N132&gt;=AB132,O132&lt;=AC132),O132-N132+1,0)</f>
        <v>0</v>
      </c>
      <c r="AI132" s="1">
        <f t="shared" ref="AI132:AI195" si="53">IF(AND(N132&lt;AB132,O132&lt;AB132),(AC132-AB132+1)/2,0)</f>
        <v>183</v>
      </c>
      <c r="AJ132" s="3">
        <f t="shared" ref="AJ132:AJ195" si="54">SUM(AE132:AI132)/IF(V132&gt;=365,AC132-AB132+1,V132)</f>
        <v>1.967741935483871</v>
      </c>
      <c r="AK132" s="3">
        <f t="shared" ref="AK132:AK195" si="55">Y132*AJ132</f>
        <v>0.49193548387096775</v>
      </c>
      <c r="AL132" s="3">
        <f t="shared" ref="AL132:AL195" si="56">IF(AI132=0,AK132*AD132,IF(U132="SIM",AK132*(AD132/2),0))</f>
        <v>0</v>
      </c>
      <c r="AM132" s="3">
        <f t="shared" ref="AM132:AM195" si="57">AL132*T132</f>
        <v>0</v>
      </c>
      <c r="AN132" s="3">
        <f t="shared" ref="AN132:AN195" si="58">IF(J132="SIM",AM132*50%,0)</f>
        <v>0</v>
      </c>
      <c r="AO132" s="3">
        <f t="shared" ref="AO132:AO195" si="59">IF(U132="SIM",AM132+AN132,0)</f>
        <v>0</v>
      </c>
      <c r="AP132" s="1" t="str">
        <f>INDEX({"EAD";"EAD";"EAD";"EAD MOOC";"EAD";"EAD";"EAD FP";"EAD";"PRESENCIAL";"PRESENCIAL";"PRESENCIAL";"PRESENCIAL"}, MATCH(CONCATENATE(E132, ".", F132),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3" spans="1:42" x14ac:dyDescent="0.25">
      <c r="A133" s="1" t="s">
        <v>27</v>
      </c>
      <c r="B133" s="1" t="s">
        <v>35</v>
      </c>
      <c r="C133" s="1" t="s">
        <v>29</v>
      </c>
      <c r="D133" s="1" t="s">
        <v>36</v>
      </c>
      <c r="E133" s="1" t="s">
        <v>120</v>
      </c>
      <c r="F133" s="1" t="s">
        <v>21</v>
      </c>
      <c r="G133" s="1" t="s">
        <v>128</v>
      </c>
      <c r="H133" s="1" t="s">
        <v>132</v>
      </c>
      <c r="I133" s="1" t="s">
        <v>107</v>
      </c>
      <c r="J133" s="1" t="s">
        <v>108</v>
      </c>
      <c r="K133" s="1" t="s">
        <v>130</v>
      </c>
      <c r="L133" s="1">
        <v>2955894</v>
      </c>
      <c r="M133" s="1" t="s">
        <v>295</v>
      </c>
      <c r="N133" s="5">
        <f>DATE(2023,2,6)</f>
        <v>44963</v>
      </c>
      <c r="O133" s="5">
        <f>DATE(2025,12,20)</f>
        <v>46011</v>
      </c>
      <c r="P133" s="5">
        <f t="shared" si="40"/>
        <v>47106</v>
      </c>
      <c r="Q133" s="1">
        <v>3706</v>
      </c>
      <c r="R133" s="1">
        <v>1200</v>
      </c>
      <c r="S133" s="1">
        <f t="shared" si="41"/>
        <v>3200</v>
      </c>
      <c r="T133" s="1">
        <v>2.5</v>
      </c>
      <c r="U133" s="1" t="str">
        <f t="shared" si="42"/>
        <v>SIM</v>
      </c>
      <c r="V133" s="1">
        <f t="shared" si="43"/>
        <v>1049</v>
      </c>
      <c r="W133" s="4">
        <f t="shared" si="44"/>
        <v>3.0505243088655862</v>
      </c>
      <c r="X133" s="4">
        <f t="shared" si="45"/>
        <v>1113.441372735939</v>
      </c>
      <c r="Y133" s="4">
        <f t="shared" si="46"/>
        <v>1.3918017159199239</v>
      </c>
      <c r="AB133" s="5">
        <f t="shared" si="47"/>
        <v>45292</v>
      </c>
      <c r="AC133" s="5">
        <f t="shared" si="48"/>
        <v>45657</v>
      </c>
      <c r="AD133" s="1">
        <v>100</v>
      </c>
      <c r="AE133" s="1">
        <f t="shared" si="49"/>
        <v>366</v>
      </c>
      <c r="AF133" s="1">
        <f t="shared" si="50"/>
        <v>0</v>
      </c>
      <c r="AG133" s="1">
        <f t="shared" si="51"/>
        <v>0</v>
      </c>
      <c r="AH133" s="1">
        <f t="shared" si="52"/>
        <v>0</v>
      </c>
      <c r="AI133" s="1">
        <f t="shared" si="53"/>
        <v>0</v>
      </c>
      <c r="AJ133" s="3">
        <f t="shared" si="54"/>
        <v>1</v>
      </c>
      <c r="AK133" s="3">
        <f t="shared" si="55"/>
        <v>1.3918017159199239</v>
      </c>
      <c r="AL133" s="3">
        <f t="shared" si="56"/>
        <v>139.18017159199238</v>
      </c>
      <c r="AM133" s="3">
        <f t="shared" si="57"/>
        <v>347.95042897998093</v>
      </c>
      <c r="AN133" s="3">
        <f t="shared" si="58"/>
        <v>173.97521448999046</v>
      </c>
      <c r="AO133" s="3">
        <f t="shared" si="59"/>
        <v>521.92564346997142</v>
      </c>
      <c r="AP133" s="1" t="str">
        <f>INDEX({"EAD";"EAD";"EAD";"EAD MOOC";"EAD";"EAD";"EAD FP";"EAD";"PRESENCIAL";"PRESENCIAL";"PRESENCIAL";"PRESENCIAL"}, MATCH(CONCATENATE(E133, ".", F133),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4" spans="1:42" x14ac:dyDescent="0.25">
      <c r="A134" s="1" t="s">
        <v>27</v>
      </c>
      <c r="B134" s="1" t="s">
        <v>35</v>
      </c>
      <c r="C134" s="1" t="s">
        <v>29</v>
      </c>
      <c r="D134" s="1" t="s">
        <v>36</v>
      </c>
      <c r="E134" s="1" t="s">
        <v>120</v>
      </c>
      <c r="F134" s="1" t="s">
        <v>21</v>
      </c>
      <c r="G134" s="1" t="s">
        <v>128</v>
      </c>
      <c r="H134" s="1" t="s">
        <v>208</v>
      </c>
      <c r="I134" s="1" t="s">
        <v>209</v>
      </c>
      <c r="J134" s="1" t="s">
        <v>125</v>
      </c>
      <c r="K134" s="1" t="s">
        <v>130</v>
      </c>
      <c r="L134" s="1">
        <v>2955903</v>
      </c>
      <c r="M134" s="1" t="s">
        <v>296</v>
      </c>
      <c r="N134" s="5">
        <f>DATE(2023,2,6)</f>
        <v>44963</v>
      </c>
      <c r="O134" s="5">
        <f>DATE(2025,12,20)</f>
        <v>46011</v>
      </c>
      <c r="P134" s="5">
        <f t="shared" si="40"/>
        <v>47106</v>
      </c>
      <c r="Q134" s="1">
        <v>3628</v>
      </c>
      <c r="R134" s="1">
        <v>1200</v>
      </c>
      <c r="S134" s="1">
        <f t="shared" si="41"/>
        <v>3200</v>
      </c>
      <c r="T134" s="1">
        <v>1.5</v>
      </c>
      <c r="U134" s="1" t="str">
        <f t="shared" si="42"/>
        <v>SIM</v>
      </c>
      <c r="V134" s="1">
        <f t="shared" si="43"/>
        <v>1049</v>
      </c>
      <c r="W134" s="4">
        <f t="shared" si="44"/>
        <v>3.0505243088655862</v>
      </c>
      <c r="X134" s="4">
        <f t="shared" si="45"/>
        <v>1113.441372735939</v>
      </c>
      <c r="Y134" s="4">
        <f t="shared" si="46"/>
        <v>1.3918017159199239</v>
      </c>
      <c r="AB134" s="5">
        <f t="shared" si="47"/>
        <v>45292</v>
      </c>
      <c r="AC134" s="5">
        <f t="shared" si="48"/>
        <v>45657</v>
      </c>
      <c r="AD134" s="1">
        <v>65</v>
      </c>
      <c r="AE134" s="1">
        <f t="shared" si="49"/>
        <v>366</v>
      </c>
      <c r="AF134" s="1">
        <f t="shared" si="50"/>
        <v>0</v>
      </c>
      <c r="AG134" s="1">
        <f t="shared" si="51"/>
        <v>0</v>
      </c>
      <c r="AH134" s="1">
        <f t="shared" si="52"/>
        <v>0</v>
      </c>
      <c r="AI134" s="1">
        <f t="shared" si="53"/>
        <v>0</v>
      </c>
      <c r="AJ134" s="3">
        <f t="shared" si="54"/>
        <v>1</v>
      </c>
      <c r="AK134" s="3">
        <f t="shared" si="55"/>
        <v>1.3918017159199239</v>
      </c>
      <c r="AL134" s="3">
        <f t="shared" si="56"/>
        <v>90.467111534795052</v>
      </c>
      <c r="AM134" s="3">
        <f t="shared" si="57"/>
        <v>135.70066730219258</v>
      </c>
      <c r="AN134" s="3">
        <f t="shared" si="58"/>
        <v>0</v>
      </c>
      <c r="AO134" s="3">
        <f t="shared" si="59"/>
        <v>135.70066730219258</v>
      </c>
      <c r="AP134" s="1" t="str">
        <f>INDEX({"EAD";"EAD";"EAD";"EAD MOOC";"EAD";"EAD";"EAD FP";"EAD";"PRESENCIAL";"PRESENCIAL";"PRESENCIAL";"PRESENCIAL"}, MATCH(CONCATENATE(E134, ".", F134),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5" spans="1:42" x14ac:dyDescent="0.25">
      <c r="A135" s="1" t="s">
        <v>27</v>
      </c>
      <c r="B135" s="1" t="s">
        <v>35</v>
      </c>
      <c r="C135" s="1" t="s">
        <v>29</v>
      </c>
      <c r="D135" s="1" t="s">
        <v>36</v>
      </c>
      <c r="E135" s="1" t="s">
        <v>120</v>
      </c>
      <c r="F135" s="1" t="s">
        <v>21</v>
      </c>
      <c r="G135" s="1" t="s">
        <v>128</v>
      </c>
      <c r="H135" s="1" t="s">
        <v>132</v>
      </c>
      <c r="I135" s="1" t="s">
        <v>107</v>
      </c>
      <c r="J135" s="1" t="s">
        <v>108</v>
      </c>
      <c r="K135" s="1" t="s">
        <v>163</v>
      </c>
      <c r="L135" s="1">
        <v>2956086</v>
      </c>
      <c r="M135" s="1" t="s">
        <v>297</v>
      </c>
      <c r="N135" s="5">
        <f>DATE(2023,2,6)</f>
        <v>44963</v>
      </c>
      <c r="O135" s="5">
        <f>DATE(2024,6,30)</f>
        <v>45473</v>
      </c>
      <c r="P135" s="5">
        <f t="shared" si="40"/>
        <v>46568</v>
      </c>
      <c r="Q135" s="1">
        <v>1418</v>
      </c>
      <c r="R135" s="1">
        <v>1200</v>
      </c>
      <c r="S135" s="1">
        <f t="shared" si="41"/>
        <v>1200</v>
      </c>
      <c r="T135" s="1">
        <v>2.5</v>
      </c>
      <c r="U135" s="1" t="str">
        <f t="shared" si="42"/>
        <v>SIM</v>
      </c>
      <c r="V135" s="1">
        <f t="shared" si="43"/>
        <v>511</v>
      </c>
      <c r="W135" s="4">
        <f t="shared" si="44"/>
        <v>2.3483365949119372</v>
      </c>
      <c r="X135" s="4">
        <f t="shared" si="45"/>
        <v>857.14285714285711</v>
      </c>
      <c r="Y135" s="4">
        <f t="shared" si="46"/>
        <v>1.0714285714285714</v>
      </c>
      <c r="AB135" s="5">
        <f t="shared" si="47"/>
        <v>45292</v>
      </c>
      <c r="AC135" s="5">
        <f t="shared" si="48"/>
        <v>45657</v>
      </c>
      <c r="AD135" s="1">
        <v>38</v>
      </c>
      <c r="AE135" s="1">
        <f t="shared" si="49"/>
        <v>0</v>
      </c>
      <c r="AF135" s="1">
        <f t="shared" si="50"/>
        <v>0</v>
      </c>
      <c r="AG135" s="1">
        <f t="shared" si="51"/>
        <v>182</v>
      </c>
      <c r="AH135" s="1">
        <f t="shared" si="52"/>
        <v>0</v>
      </c>
      <c r="AI135" s="1">
        <f t="shared" si="53"/>
        <v>0</v>
      </c>
      <c r="AJ135" s="3">
        <f t="shared" si="54"/>
        <v>0.49726775956284153</v>
      </c>
      <c r="AK135" s="3">
        <f t="shared" si="55"/>
        <v>0.53278688524590168</v>
      </c>
      <c r="AL135" s="3">
        <f t="shared" si="56"/>
        <v>20.245901639344265</v>
      </c>
      <c r="AM135" s="3">
        <f t="shared" si="57"/>
        <v>50.614754098360663</v>
      </c>
      <c r="AN135" s="3">
        <f t="shared" si="58"/>
        <v>25.307377049180332</v>
      </c>
      <c r="AO135" s="3">
        <f t="shared" si="59"/>
        <v>75.922131147540995</v>
      </c>
      <c r="AP135" s="1" t="str">
        <f>INDEX({"EAD";"EAD";"EAD";"EAD MOOC";"EAD";"EAD";"EAD FP";"EAD";"PRESENCIAL";"PRESENCIAL";"PRESENCIAL";"PRESENCIAL"}, MATCH(CONCATENATE(E135, ".", F135),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6" spans="1:42" x14ac:dyDescent="0.25">
      <c r="A136" s="1" t="s">
        <v>27</v>
      </c>
      <c r="B136" s="1" t="s">
        <v>35</v>
      </c>
      <c r="C136" s="1" t="s">
        <v>29</v>
      </c>
      <c r="D136" s="1" t="s">
        <v>36</v>
      </c>
      <c r="E136" s="1" t="s">
        <v>120</v>
      </c>
      <c r="F136" s="1" t="s">
        <v>21</v>
      </c>
      <c r="G136" s="1" t="s">
        <v>278</v>
      </c>
      <c r="H136" s="1" t="s">
        <v>279</v>
      </c>
      <c r="I136" s="1" t="s">
        <v>172</v>
      </c>
      <c r="J136" s="1" t="s">
        <v>125</v>
      </c>
      <c r="K136" s="1" t="s">
        <v>109</v>
      </c>
      <c r="L136" s="1">
        <v>2956123</v>
      </c>
      <c r="M136" s="1" t="s">
        <v>298</v>
      </c>
      <c r="N136" s="5">
        <f>DATE(2023,2,6)</f>
        <v>44963</v>
      </c>
      <c r="O136" s="5">
        <f>DATE(2026,12,20)</f>
        <v>46376</v>
      </c>
      <c r="P136" s="5">
        <f t="shared" si="40"/>
        <v>47471</v>
      </c>
      <c r="Q136" s="1">
        <v>3200</v>
      </c>
      <c r="R136" s="1">
        <v>3200</v>
      </c>
      <c r="S136" s="1">
        <f t="shared" si="41"/>
        <v>3200</v>
      </c>
      <c r="T136" s="1">
        <v>2.5</v>
      </c>
      <c r="U136" s="1" t="str">
        <f t="shared" si="42"/>
        <v>SIM</v>
      </c>
      <c r="V136" s="1">
        <f t="shared" si="43"/>
        <v>1414</v>
      </c>
      <c r="W136" s="4">
        <f t="shared" si="44"/>
        <v>2.2630834512022631</v>
      </c>
      <c r="X136" s="4">
        <f t="shared" si="45"/>
        <v>826.025459688826</v>
      </c>
      <c r="Y136" s="4">
        <f t="shared" si="46"/>
        <v>1.0325318246110324</v>
      </c>
      <c r="AB136" s="5">
        <f t="shared" si="47"/>
        <v>45292</v>
      </c>
      <c r="AC136" s="5">
        <f t="shared" si="48"/>
        <v>45657</v>
      </c>
      <c r="AD136" s="1">
        <v>23</v>
      </c>
      <c r="AE136" s="1">
        <f t="shared" si="49"/>
        <v>366</v>
      </c>
      <c r="AF136" s="1">
        <f t="shared" si="50"/>
        <v>0</v>
      </c>
      <c r="AG136" s="1">
        <f t="shared" si="51"/>
        <v>0</v>
      </c>
      <c r="AH136" s="1">
        <f t="shared" si="52"/>
        <v>0</v>
      </c>
      <c r="AI136" s="1">
        <f t="shared" si="53"/>
        <v>0</v>
      </c>
      <c r="AJ136" s="3">
        <f t="shared" si="54"/>
        <v>1</v>
      </c>
      <c r="AK136" s="3">
        <f t="shared" si="55"/>
        <v>1.0325318246110324</v>
      </c>
      <c r="AL136" s="3">
        <f t="shared" si="56"/>
        <v>23.748231966053744</v>
      </c>
      <c r="AM136" s="3">
        <f t="shared" si="57"/>
        <v>59.370579915134357</v>
      </c>
      <c r="AN136" s="3">
        <f t="shared" si="58"/>
        <v>0</v>
      </c>
      <c r="AO136" s="3">
        <f t="shared" si="59"/>
        <v>59.370579915134357</v>
      </c>
      <c r="AP136" s="1" t="str">
        <f>INDEX({"EAD";"EAD";"EAD";"EAD MOOC";"EAD";"EAD";"EAD FP";"EAD";"PRESENCIAL";"PRESENCIAL";"PRESENCIAL";"PRESENCIAL"}, MATCH(CONCATENATE(E136, ".", F136),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7" spans="1:42" x14ac:dyDescent="0.25">
      <c r="A137" s="1" t="s">
        <v>27</v>
      </c>
      <c r="B137" s="1" t="s">
        <v>35</v>
      </c>
      <c r="C137" s="1" t="s">
        <v>29</v>
      </c>
      <c r="D137" s="1" t="s">
        <v>36</v>
      </c>
      <c r="E137" s="1" t="s">
        <v>120</v>
      </c>
      <c r="F137" s="1" t="s">
        <v>21</v>
      </c>
      <c r="G137" s="1" t="s">
        <v>121</v>
      </c>
      <c r="H137" s="1" t="s">
        <v>254</v>
      </c>
      <c r="I137" s="1" t="s">
        <v>107</v>
      </c>
      <c r="J137" s="1" t="s">
        <v>108</v>
      </c>
      <c r="K137" s="1" t="s">
        <v>109</v>
      </c>
      <c r="L137" s="1">
        <v>2956131</v>
      </c>
      <c r="M137" s="1" t="s">
        <v>299</v>
      </c>
      <c r="N137" s="5">
        <f>DATE(2023,2,6)</f>
        <v>44963</v>
      </c>
      <c r="O137" s="5">
        <f>DATE(2027,12,20)</f>
        <v>46741</v>
      </c>
      <c r="P137" s="5">
        <f t="shared" si="40"/>
        <v>47836</v>
      </c>
      <c r="Q137" s="1">
        <v>4046</v>
      </c>
      <c r="R137" s="1">
        <v>3600</v>
      </c>
      <c r="S137" s="1">
        <f t="shared" si="41"/>
        <v>3600</v>
      </c>
      <c r="T137" s="1">
        <v>2.5</v>
      </c>
      <c r="U137" s="1" t="str">
        <f t="shared" si="42"/>
        <v>SIM</v>
      </c>
      <c r="V137" s="1">
        <f t="shared" si="43"/>
        <v>1779</v>
      </c>
      <c r="W137" s="4">
        <f t="shared" si="44"/>
        <v>2.0236087689713322</v>
      </c>
      <c r="X137" s="4">
        <f t="shared" si="45"/>
        <v>738.61720067453632</v>
      </c>
      <c r="Y137" s="4">
        <f t="shared" si="46"/>
        <v>0.92327150084317045</v>
      </c>
      <c r="AB137" s="5">
        <f t="shared" si="47"/>
        <v>45292</v>
      </c>
      <c r="AC137" s="5">
        <f t="shared" si="48"/>
        <v>45657</v>
      </c>
      <c r="AD137" s="1">
        <v>31</v>
      </c>
      <c r="AE137" s="1">
        <f t="shared" si="49"/>
        <v>366</v>
      </c>
      <c r="AF137" s="1">
        <f t="shared" si="50"/>
        <v>0</v>
      </c>
      <c r="AG137" s="1">
        <f t="shared" si="51"/>
        <v>0</v>
      </c>
      <c r="AH137" s="1">
        <f t="shared" si="52"/>
        <v>0</v>
      </c>
      <c r="AI137" s="1">
        <f t="shared" si="53"/>
        <v>0</v>
      </c>
      <c r="AJ137" s="3">
        <f t="shared" si="54"/>
        <v>1</v>
      </c>
      <c r="AK137" s="3">
        <f t="shared" si="55"/>
        <v>0.92327150084317045</v>
      </c>
      <c r="AL137" s="3">
        <f t="shared" si="56"/>
        <v>28.621416526138283</v>
      </c>
      <c r="AM137" s="3">
        <f t="shared" si="57"/>
        <v>71.553541315345711</v>
      </c>
      <c r="AN137" s="3">
        <f t="shared" si="58"/>
        <v>35.776770657672856</v>
      </c>
      <c r="AO137" s="3">
        <f t="shared" si="59"/>
        <v>107.33031197301857</v>
      </c>
      <c r="AP137" s="1" t="str">
        <f>INDEX({"EAD";"EAD";"EAD";"EAD MOOC";"EAD";"EAD";"EAD FP";"EAD";"PRESENCIAL";"PRESENCIAL";"PRESENCIAL";"PRESENCIAL"}, MATCH(CONCATENATE(E137, ".", F137),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8" spans="1:42" x14ac:dyDescent="0.25">
      <c r="A138" s="1" t="s">
        <v>27</v>
      </c>
      <c r="B138" s="1" t="s">
        <v>35</v>
      </c>
      <c r="C138" s="1" t="s">
        <v>29</v>
      </c>
      <c r="D138" s="1" t="s">
        <v>36</v>
      </c>
      <c r="E138" s="1" t="s">
        <v>170</v>
      </c>
      <c r="F138" s="1" t="s">
        <v>21</v>
      </c>
      <c r="G138" s="1" t="s">
        <v>128</v>
      </c>
      <c r="H138" s="1" t="s">
        <v>171</v>
      </c>
      <c r="I138" s="1" t="s">
        <v>172</v>
      </c>
      <c r="J138" s="1" t="s">
        <v>125</v>
      </c>
      <c r="K138" s="1" t="s">
        <v>163</v>
      </c>
      <c r="L138" s="1">
        <v>2975674</v>
      </c>
      <c r="M138" s="1" t="s">
        <v>300</v>
      </c>
      <c r="N138" s="5">
        <f>DATE(2023,4,3)</f>
        <v>45019</v>
      </c>
      <c r="O138" s="5">
        <f>DATE(2024,10,31)</f>
        <v>45596</v>
      </c>
      <c r="P138" s="5">
        <f t="shared" si="40"/>
        <v>46691</v>
      </c>
      <c r="Q138" s="1">
        <v>1200</v>
      </c>
      <c r="R138" s="1">
        <v>1200</v>
      </c>
      <c r="S138" s="1">
        <f t="shared" si="41"/>
        <v>1200</v>
      </c>
      <c r="T138" s="1">
        <v>2</v>
      </c>
      <c r="U138" s="1" t="str">
        <f t="shared" si="42"/>
        <v>SIM</v>
      </c>
      <c r="V138" s="1">
        <f t="shared" si="43"/>
        <v>578</v>
      </c>
      <c r="W138" s="4">
        <f t="shared" si="44"/>
        <v>2.0761245674740483</v>
      </c>
      <c r="X138" s="4">
        <f t="shared" si="45"/>
        <v>757.78546712802768</v>
      </c>
      <c r="Y138" s="4">
        <f t="shared" si="46"/>
        <v>0.94723183391003463</v>
      </c>
      <c r="AB138" s="5">
        <f t="shared" si="47"/>
        <v>45292</v>
      </c>
      <c r="AC138" s="5">
        <f t="shared" si="48"/>
        <v>45657</v>
      </c>
      <c r="AD138" s="1">
        <v>37</v>
      </c>
      <c r="AE138" s="1">
        <f t="shared" si="49"/>
        <v>0</v>
      </c>
      <c r="AF138" s="1">
        <f t="shared" si="50"/>
        <v>0</v>
      </c>
      <c r="AG138" s="1">
        <f t="shared" si="51"/>
        <v>305</v>
      </c>
      <c r="AH138" s="1">
        <f t="shared" si="52"/>
        <v>0</v>
      </c>
      <c r="AI138" s="1">
        <f t="shared" si="53"/>
        <v>0</v>
      </c>
      <c r="AJ138" s="3">
        <f t="shared" si="54"/>
        <v>0.83333333333333337</v>
      </c>
      <c r="AK138" s="3">
        <f t="shared" si="55"/>
        <v>0.78935986159169558</v>
      </c>
      <c r="AL138" s="3">
        <f t="shared" si="56"/>
        <v>29.206314878892737</v>
      </c>
      <c r="AM138" s="3">
        <f t="shared" si="57"/>
        <v>58.412629757785474</v>
      </c>
      <c r="AN138" s="3">
        <f t="shared" si="58"/>
        <v>0</v>
      </c>
      <c r="AO138" s="3">
        <f t="shared" si="59"/>
        <v>58.412629757785474</v>
      </c>
      <c r="AP138" s="1" t="str">
        <f>INDEX({"EAD";"EAD";"EAD";"EAD MOOC";"EAD";"EAD";"EAD FP";"EAD";"PRESENCIAL";"PRESENCIAL";"PRESENCIAL";"PRESENCIAL"}, MATCH(CONCATENATE(E138, ".", F138),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39" spans="1:42" x14ac:dyDescent="0.25">
      <c r="A139" s="1" t="s">
        <v>27</v>
      </c>
      <c r="B139" s="1" t="s">
        <v>35</v>
      </c>
      <c r="C139" s="1" t="s">
        <v>29</v>
      </c>
      <c r="D139" s="1" t="s">
        <v>36</v>
      </c>
      <c r="E139" s="1" t="s">
        <v>170</v>
      </c>
      <c r="F139" s="1" t="s">
        <v>21</v>
      </c>
      <c r="G139" s="1" t="s">
        <v>128</v>
      </c>
      <c r="H139" s="1" t="s">
        <v>174</v>
      </c>
      <c r="I139" s="1" t="s">
        <v>172</v>
      </c>
      <c r="J139" s="1" t="s">
        <v>125</v>
      </c>
      <c r="K139" s="1" t="s">
        <v>163</v>
      </c>
      <c r="L139" s="1">
        <v>2975706</v>
      </c>
      <c r="M139" s="1" t="s">
        <v>301</v>
      </c>
      <c r="N139" s="5">
        <f>DATE(2023,4,3)</f>
        <v>45019</v>
      </c>
      <c r="O139" s="5">
        <f>DATE(2024,10,31)</f>
        <v>45596</v>
      </c>
      <c r="P139" s="5">
        <f t="shared" si="40"/>
        <v>46691</v>
      </c>
      <c r="Q139" s="1">
        <v>1200</v>
      </c>
      <c r="R139" s="1">
        <v>1200</v>
      </c>
      <c r="S139" s="1">
        <f t="shared" si="41"/>
        <v>1200</v>
      </c>
      <c r="T139" s="1">
        <v>1</v>
      </c>
      <c r="U139" s="1" t="str">
        <f t="shared" si="42"/>
        <v>SIM</v>
      </c>
      <c r="V139" s="1">
        <f t="shared" si="43"/>
        <v>578</v>
      </c>
      <c r="W139" s="4">
        <f t="shared" si="44"/>
        <v>2.0761245674740483</v>
      </c>
      <c r="X139" s="4">
        <f t="shared" si="45"/>
        <v>757.78546712802768</v>
      </c>
      <c r="Y139" s="4">
        <f t="shared" si="46"/>
        <v>0.94723183391003463</v>
      </c>
      <c r="AB139" s="5">
        <f t="shared" si="47"/>
        <v>45292</v>
      </c>
      <c r="AC139" s="5">
        <f t="shared" si="48"/>
        <v>45657</v>
      </c>
      <c r="AD139" s="1">
        <v>42</v>
      </c>
      <c r="AE139" s="1">
        <f t="shared" si="49"/>
        <v>0</v>
      </c>
      <c r="AF139" s="1">
        <f t="shared" si="50"/>
        <v>0</v>
      </c>
      <c r="AG139" s="1">
        <f t="shared" si="51"/>
        <v>305</v>
      </c>
      <c r="AH139" s="1">
        <f t="shared" si="52"/>
        <v>0</v>
      </c>
      <c r="AI139" s="1">
        <f t="shared" si="53"/>
        <v>0</v>
      </c>
      <c r="AJ139" s="3">
        <f t="shared" si="54"/>
        <v>0.83333333333333337</v>
      </c>
      <c r="AK139" s="3">
        <f t="shared" si="55"/>
        <v>0.78935986159169558</v>
      </c>
      <c r="AL139" s="3">
        <f t="shared" si="56"/>
        <v>33.153114186851212</v>
      </c>
      <c r="AM139" s="3">
        <f t="shared" si="57"/>
        <v>33.153114186851212</v>
      </c>
      <c r="AN139" s="3">
        <f t="shared" si="58"/>
        <v>0</v>
      </c>
      <c r="AO139" s="3">
        <f t="shared" si="59"/>
        <v>33.153114186851212</v>
      </c>
      <c r="AP139" s="1" t="str">
        <f>INDEX({"EAD";"EAD";"EAD";"EAD MOOC";"EAD";"EAD";"EAD FP";"EAD";"PRESENCIAL";"PRESENCIAL";"PRESENCIAL";"PRESENCIAL"}, MATCH(CONCATENATE(E139, ".", F139),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40" spans="1:42" x14ac:dyDescent="0.25">
      <c r="A140" s="1" t="s">
        <v>27</v>
      </c>
      <c r="B140" s="1" t="s">
        <v>35</v>
      </c>
      <c r="C140" s="1" t="s">
        <v>29</v>
      </c>
      <c r="D140" s="1" t="s">
        <v>36</v>
      </c>
      <c r="E140" s="1" t="s">
        <v>170</v>
      </c>
      <c r="F140" s="1" t="s">
        <v>21</v>
      </c>
      <c r="G140" s="1" t="s">
        <v>128</v>
      </c>
      <c r="H140" s="1" t="s">
        <v>176</v>
      </c>
      <c r="I140" s="1" t="s">
        <v>172</v>
      </c>
      <c r="J140" s="1" t="s">
        <v>125</v>
      </c>
      <c r="K140" s="1" t="s">
        <v>163</v>
      </c>
      <c r="L140" s="1">
        <v>2975715</v>
      </c>
      <c r="M140" s="1" t="s">
        <v>302</v>
      </c>
      <c r="N140" s="5">
        <f>DATE(2023,4,3)</f>
        <v>45019</v>
      </c>
      <c r="O140" s="5">
        <f>DATE(2024,10,31)</f>
        <v>45596</v>
      </c>
      <c r="P140" s="5">
        <f t="shared" si="40"/>
        <v>46691</v>
      </c>
      <c r="Q140" s="1">
        <v>1200</v>
      </c>
      <c r="R140" s="1">
        <v>800</v>
      </c>
      <c r="S140" s="1">
        <f t="shared" si="41"/>
        <v>800</v>
      </c>
      <c r="T140" s="1">
        <v>1.5</v>
      </c>
      <c r="U140" s="1" t="str">
        <f t="shared" si="42"/>
        <v>SIM</v>
      </c>
      <c r="V140" s="1">
        <f t="shared" si="43"/>
        <v>578</v>
      </c>
      <c r="W140" s="4">
        <f t="shared" si="44"/>
        <v>1.3840830449826989</v>
      </c>
      <c r="X140" s="4">
        <f t="shared" si="45"/>
        <v>505.1903114186851</v>
      </c>
      <c r="Y140" s="4">
        <f t="shared" si="46"/>
        <v>0.63148788927335642</v>
      </c>
      <c r="AB140" s="5">
        <f t="shared" si="47"/>
        <v>45292</v>
      </c>
      <c r="AC140" s="5">
        <f t="shared" si="48"/>
        <v>45657</v>
      </c>
      <c r="AD140" s="1">
        <v>15</v>
      </c>
      <c r="AE140" s="1">
        <f t="shared" si="49"/>
        <v>0</v>
      </c>
      <c r="AF140" s="1">
        <f t="shared" si="50"/>
        <v>0</v>
      </c>
      <c r="AG140" s="1">
        <f t="shared" si="51"/>
        <v>305</v>
      </c>
      <c r="AH140" s="1">
        <f t="shared" si="52"/>
        <v>0</v>
      </c>
      <c r="AI140" s="1">
        <f t="shared" si="53"/>
        <v>0</v>
      </c>
      <c r="AJ140" s="3">
        <f t="shared" si="54"/>
        <v>0.83333333333333337</v>
      </c>
      <c r="AK140" s="3">
        <f t="shared" si="55"/>
        <v>0.52623990772779705</v>
      </c>
      <c r="AL140" s="3">
        <f t="shared" si="56"/>
        <v>7.8935986159169556</v>
      </c>
      <c r="AM140" s="3">
        <f t="shared" si="57"/>
        <v>11.840397923875432</v>
      </c>
      <c r="AN140" s="3">
        <f t="shared" si="58"/>
        <v>0</v>
      </c>
      <c r="AO140" s="3">
        <f t="shared" si="59"/>
        <v>11.840397923875432</v>
      </c>
      <c r="AP140" s="1" t="str">
        <f>INDEX({"EAD";"EAD";"EAD";"EAD MOOC";"EAD";"EAD";"EAD FP";"EAD";"PRESENCIAL";"PRESENCIAL";"PRESENCIAL";"PRESENCIAL"}, MATCH(CONCATENATE(E140, ".", F140),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41" spans="1:42" x14ac:dyDescent="0.25">
      <c r="A141" s="1" t="s">
        <v>27</v>
      </c>
      <c r="B141" s="1" t="s">
        <v>35</v>
      </c>
      <c r="C141" s="1" t="s">
        <v>29</v>
      </c>
      <c r="D141" s="1" t="s">
        <v>36</v>
      </c>
      <c r="E141" s="1" t="s">
        <v>120</v>
      </c>
      <c r="F141" s="1" t="s">
        <v>21</v>
      </c>
      <c r="G141" s="1" t="s">
        <v>178</v>
      </c>
      <c r="H141" s="1" t="s">
        <v>303</v>
      </c>
      <c r="I141" s="1" t="s">
        <v>107</v>
      </c>
      <c r="J141" s="1" t="s">
        <v>125</v>
      </c>
      <c r="K141" s="1" t="s">
        <v>109</v>
      </c>
      <c r="L141" s="1">
        <v>3060458</v>
      </c>
      <c r="M141" s="1" t="s">
        <v>304</v>
      </c>
      <c r="N141" s="5">
        <f>DATE(2023,6,13)</f>
        <v>45090</v>
      </c>
      <c r="O141" s="5">
        <f>DATE(2024,6,14)</f>
        <v>45457</v>
      </c>
      <c r="P141" s="5">
        <f t="shared" si="40"/>
        <v>46552</v>
      </c>
      <c r="Q141" s="1">
        <v>420</v>
      </c>
      <c r="R141" s="1">
        <v>360</v>
      </c>
      <c r="S141" s="1">
        <f t="shared" si="41"/>
        <v>360</v>
      </c>
      <c r="T141" s="1">
        <v>2.5</v>
      </c>
      <c r="U141" s="1" t="str">
        <f t="shared" si="42"/>
        <v>SIM</v>
      </c>
      <c r="V141" s="1">
        <f t="shared" si="43"/>
        <v>368</v>
      </c>
      <c r="W141" s="4">
        <f t="shared" si="44"/>
        <v>0.97826086956521741</v>
      </c>
      <c r="X141" s="4">
        <f t="shared" si="45"/>
        <v>357.06521739130437</v>
      </c>
      <c r="Y141" s="4">
        <f t="shared" si="46"/>
        <v>0.44633152173913049</v>
      </c>
      <c r="AB141" s="5">
        <f t="shared" si="47"/>
        <v>45292</v>
      </c>
      <c r="AC141" s="5">
        <f t="shared" si="48"/>
        <v>45657</v>
      </c>
      <c r="AD141" s="1">
        <v>38</v>
      </c>
      <c r="AE141" s="1">
        <f t="shared" si="49"/>
        <v>0</v>
      </c>
      <c r="AF141" s="1">
        <f t="shared" si="50"/>
        <v>0</v>
      </c>
      <c r="AG141" s="1">
        <f t="shared" si="51"/>
        <v>166</v>
      </c>
      <c r="AH141" s="1">
        <f t="shared" si="52"/>
        <v>0</v>
      </c>
      <c r="AI141" s="1">
        <f t="shared" si="53"/>
        <v>0</v>
      </c>
      <c r="AJ141" s="3">
        <f t="shared" si="54"/>
        <v>0.45355191256830601</v>
      </c>
      <c r="AK141" s="3">
        <f t="shared" si="55"/>
        <v>0.20243451532430509</v>
      </c>
      <c r="AL141" s="3">
        <f t="shared" si="56"/>
        <v>7.6925115823235934</v>
      </c>
      <c r="AM141" s="3">
        <f t="shared" si="57"/>
        <v>19.231278955808982</v>
      </c>
      <c r="AN141" s="3">
        <f t="shared" si="58"/>
        <v>0</v>
      </c>
      <c r="AO141" s="3">
        <f t="shared" si="59"/>
        <v>19.231278955808982</v>
      </c>
      <c r="AP141" s="1" t="str">
        <f>INDEX({"EAD";"EAD";"EAD";"EAD MOOC";"EAD";"EAD";"EAD FP";"EAD";"PRESENCIAL";"PRESENCIAL";"PRESENCIAL";"PRESENCIAL"}, MATCH(CONCATENATE(E141, ".", F141),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42" spans="1:42" x14ac:dyDescent="0.25">
      <c r="A142" s="1" t="s">
        <v>27</v>
      </c>
      <c r="B142" s="1" t="s">
        <v>35</v>
      </c>
      <c r="C142" s="1" t="s">
        <v>29</v>
      </c>
      <c r="D142" s="1" t="s">
        <v>36</v>
      </c>
      <c r="E142" s="1" t="s">
        <v>120</v>
      </c>
      <c r="F142" s="1" t="s">
        <v>21</v>
      </c>
      <c r="G142" s="1" t="s">
        <v>128</v>
      </c>
      <c r="H142" s="1" t="s">
        <v>132</v>
      </c>
      <c r="I142" s="1" t="s">
        <v>107</v>
      </c>
      <c r="J142" s="1" t="s">
        <v>108</v>
      </c>
      <c r="K142" s="1" t="s">
        <v>163</v>
      </c>
      <c r="L142" s="1">
        <v>3013312</v>
      </c>
      <c r="M142" s="1" t="s">
        <v>305</v>
      </c>
      <c r="N142" s="5">
        <f>DATE(2023,7,24)</f>
        <v>45131</v>
      </c>
      <c r="O142" s="5">
        <f>DATE(2024,12,20)</f>
        <v>45646</v>
      </c>
      <c r="P142" s="5">
        <f t="shared" si="40"/>
        <v>46741</v>
      </c>
      <c r="Q142" s="1">
        <v>1418</v>
      </c>
      <c r="R142" s="1">
        <v>1200</v>
      </c>
      <c r="S142" s="1">
        <f t="shared" si="41"/>
        <v>1200</v>
      </c>
      <c r="T142" s="1">
        <v>2.5</v>
      </c>
      <c r="U142" s="1" t="str">
        <f t="shared" si="42"/>
        <v>SIM</v>
      </c>
      <c r="V142" s="1">
        <f t="shared" si="43"/>
        <v>516</v>
      </c>
      <c r="W142" s="4">
        <f t="shared" si="44"/>
        <v>2.3255813953488373</v>
      </c>
      <c r="X142" s="4">
        <f t="shared" si="45"/>
        <v>848.83720930232562</v>
      </c>
      <c r="Y142" s="4">
        <f t="shared" si="46"/>
        <v>1.0610465116279071</v>
      </c>
      <c r="AB142" s="5">
        <f t="shared" si="47"/>
        <v>45292</v>
      </c>
      <c r="AC142" s="5">
        <f t="shared" si="48"/>
        <v>45657</v>
      </c>
      <c r="AD142" s="1">
        <v>28</v>
      </c>
      <c r="AE142" s="1">
        <f t="shared" si="49"/>
        <v>0</v>
      </c>
      <c r="AF142" s="1">
        <f t="shared" si="50"/>
        <v>0</v>
      </c>
      <c r="AG142" s="1">
        <f t="shared" si="51"/>
        <v>355</v>
      </c>
      <c r="AH142" s="1">
        <f t="shared" si="52"/>
        <v>0</v>
      </c>
      <c r="AI142" s="1">
        <f t="shared" si="53"/>
        <v>0</v>
      </c>
      <c r="AJ142" s="3">
        <f t="shared" si="54"/>
        <v>0.9699453551912568</v>
      </c>
      <c r="AK142" s="3">
        <f t="shared" si="55"/>
        <v>1.0291571355953744</v>
      </c>
      <c r="AL142" s="3">
        <f t="shared" si="56"/>
        <v>28.816399796670481</v>
      </c>
      <c r="AM142" s="3">
        <f t="shared" si="57"/>
        <v>72.040999491676203</v>
      </c>
      <c r="AN142" s="3">
        <f t="shared" si="58"/>
        <v>36.020499745838102</v>
      </c>
      <c r="AO142" s="3">
        <f t="shared" si="59"/>
        <v>108.06149923751431</v>
      </c>
      <c r="AP142" s="1" t="str">
        <f>INDEX({"EAD";"EAD";"EAD";"EAD MOOC";"EAD";"EAD";"EAD FP";"EAD";"PRESENCIAL";"PRESENCIAL";"PRESENCIAL";"PRESENCIAL"}, MATCH(CONCATENATE(E142, ".", F142),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43" spans="1:42" x14ac:dyDescent="0.25">
      <c r="A143" s="1" t="s">
        <v>27</v>
      </c>
      <c r="B143" s="1" t="s">
        <v>35</v>
      </c>
      <c r="C143" s="1" t="s">
        <v>29</v>
      </c>
      <c r="D143" s="1" t="s">
        <v>36</v>
      </c>
      <c r="E143" s="1" t="s">
        <v>120</v>
      </c>
      <c r="F143" s="1" t="s">
        <v>21</v>
      </c>
      <c r="G143" s="1" t="s">
        <v>161</v>
      </c>
      <c r="H143" s="1" t="s">
        <v>306</v>
      </c>
      <c r="I143" s="1" t="s">
        <v>224</v>
      </c>
      <c r="J143" s="1" t="s">
        <v>125</v>
      </c>
      <c r="K143" s="1" t="s">
        <v>109</v>
      </c>
      <c r="L143" s="1">
        <v>3042532</v>
      </c>
      <c r="M143" s="1" t="s">
        <v>307</v>
      </c>
      <c r="N143" s="5">
        <f>DATE(2023,10,2)</f>
        <v>45201</v>
      </c>
      <c r="O143" s="5">
        <f>DATE(2023,12,16)</f>
        <v>45276</v>
      </c>
      <c r="P143" s="5">
        <f t="shared" si="40"/>
        <v>45276</v>
      </c>
      <c r="Q143" s="1">
        <v>160</v>
      </c>
      <c r="R143" s="1">
        <v>160</v>
      </c>
      <c r="S143" s="1">
        <f t="shared" si="41"/>
        <v>160</v>
      </c>
      <c r="T143" s="1">
        <v>1</v>
      </c>
      <c r="U143" s="1" t="str">
        <f t="shared" si="42"/>
        <v>NÃO</v>
      </c>
      <c r="V143" s="1">
        <f t="shared" si="43"/>
        <v>76</v>
      </c>
      <c r="W143" s="4">
        <f t="shared" si="44"/>
        <v>2.1052631578947367</v>
      </c>
      <c r="X143" s="4">
        <f t="shared" si="45"/>
        <v>160</v>
      </c>
      <c r="Y143" s="4">
        <f t="shared" si="46"/>
        <v>0.2</v>
      </c>
      <c r="AB143" s="5">
        <f t="shared" si="47"/>
        <v>45292</v>
      </c>
      <c r="AC143" s="5">
        <f t="shared" si="48"/>
        <v>45657</v>
      </c>
      <c r="AD143" s="1">
        <v>16</v>
      </c>
      <c r="AE143" s="1">
        <f t="shared" si="49"/>
        <v>0</v>
      </c>
      <c r="AF143" s="1">
        <f t="shared" si="50"/>
        <v>0</v>
      </c>
      <c r="AG143" s="1">
        <f t="shared" si="51"/>
        <v>0</v>
      </c>
      <c r="AH143" s="1">
        <f t="shared" si="52"/>
        <v>0</v>
      </c>
      <c r="AI143" s="1">
        <f t="shared" si="53"/>
        <v>183</v>
      </c>
      <c r="AJ143" s="3">
        <f t="shared" si="54"/>
        <v>2.4078947368421053</v>
      </c>
      <c r="AK143" s="3">
        <f t="shared" si="55"/>
        <v>0.48157894736842111</v>
      </c>
      <c r="AL143" s="3">
        <f t="shared" si="56"/>
        <v>0</v>
      </c>
      <c r="AM143" s="3">
        <f t="shared" si="57"/>
        <v>0</v>
      </c>
      <c r="AN143" s="3">
        <f t="shared" si="58"/>
        <v>0</v>
      </c>
      <c r="AO143" s="3">
        <f t="shared" si="59"/>
        <v>0</v>
      </c>
      <c r="AP143" s="1" t="str">
        <f>INDEX({"EAD";"EAD";"EAD";"EAD MOOC";"EAD";"EAD";"EAD FP";"EAD";"PRESENCIAL";"PRESENCIAL";"PRESENCIAL";"PRESENCIAL"}, MATCH(CONCATENATE(E143, ".", F143),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44" spans="1:42" x14ac:dyDescent="0.25">
      <c r="A144" s="1" t="s">
        <v>27</v>
      </c>
      <c r="B144" s="1" t="s">
        <v>35</v>
      </c>
      <c r="C144" s="1" t="s">
        <v>29</v>
      </c>
      <c r="D144" s="1" t="s">
        <v>36</v>
      </c>
      <c r="E144" s="1" t="s">
        <v>120</v>
      </c>
      <c r="F144" s="1" t="s">
        <v>21</v>
      </c>
      <c r="G144" s="1" t="s">
        <v>161</v>
      </c>
      <c r="H144" s="1" t="s">
        <v>308</v>
      </c>
      <c r="I144" s="1" t="s">
        <v>224</v>
      </c>
      <c r="J144" s="1" t="s">
        <v>125</v>
      </c>
      <c r="K144" s="1" t="s">
        <v>259</v>
      </c>
      <c r="L144" s="1">
        <v>3058854</v>
      </c>
      <c r="M144" s="1" t="s">
        <v>309</v>
      </c>
      <c r="N144" s="5">
        <f>DATE(2023,11,1)</f>
        <v>45231</v>
      </c>
      <c r="O144" s="5">
        <f>DATE(2024,4,20)</f>
        <v>45402</v>
      </c>
      <c r="P144" s="5">
        <f t="shared" si="40"/>
        <v>45402</v>
      </c>
      <c r="Q144" s="1">
        <v>160</v>
      </c>
      <c r="R144" s="1">
        <v>160</v>
      </c>
      <c r="S144" s="1">
        <f t="shared" si="41"/>
        <v>160</v>
      </c>
      <c r="T144" s="1">
        <v>1</v>
      </c>
      <c r="U144" s="1" t="str">
        <f t="shared" si="42"/>
        <v>SIM</v>
      </c>
      <c r="V144" s="1">
        <f t="shared" si="43"/>
        <v>172</v>
      </c>
      <c r="W144" s="4">
        <f t="shared" si="44"/>
        <v>0.93023255813953487</v>
      </c>
      <c r="X144" s="4">
        <f t="shared" si="45"/>
        <v>160</v>
      </c>
      <c r="Y144" s="4">
        <f t="shared" si="46"/>
        <v>0.2</v>
      </c>
      <c r="AB144" s="5">
        <f t="shared" si="47"/>
        <v>45292</v>
      </c>
      <c r="AC144" s="5">
        <f t="shared" si="48"/>
        <v>45657</v>
      </c>
      <c r="AD144" s="1">
        <v>30</v>
      </c>
      <c r="AE144" s="1">
        <f t="shared" si="49"/>
        <v>0</v>
      </c>
      <c r="AF144" s="1">
        <f t="shared" si="50"/>
        <v>0</v>
      </c>
      <c r="AG144" s="1">
        <f t="shared" si="51"/>
        <v>111</v>
      </c>
      <c r="AH144" s="1">
        <f t="shared" si="52"/>
        <v>0</v>
      </c>
      <c r="AI144" s="1">
        <f t="shared" si="53"/>
        <v>0</v>
      </c>
      <c r="AJ144" s="3">
        <f t="shared" si="54"/>
        <v>0.64534883720930236</v>
      </c>
      <c r="AK144" s="3">
        <f t="shared" si="55"/>
        <v>0.12906976744186047</v>
      </c>
      <c r="AL144" s="3">
        <f t="shared" si="56"/>
        <v>3.8720930232558142</v>
      </c>
      <c r="AM144" s="3">
        <f t="shared" si="57"/>
        <v>3.8720930232558142</v>
      </c>
      <c r="AN144" s="3">
        <f t="shared" si="58"/>
        <v>0</v>
      </c>
      <c r="AO144" s="3">
        <f t="shared" si="59"/>
        <v>3.8720930232558142</v>
      </c>
      <c r="AP144" s="1" t="str">
        <f>INDEX({"EAD";"EAD";"EAD";"EAD MOOC";"EAD";"EAD";"EAD FP";"EAD";"PRESENCIAL";"PRESENCIAL";"PRESENCIAL";"PRESENCIAL"}, MATCH(CONCATENATE(E144, ".", F144),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45" spans="1:42" x14ac:dyDescent="0.25">
      <c r="A145" s="1" t="s">
        <v>27</v>
      </c>
      <c r="B145" s="1" t="s">
        <v>35</v>
      </c>
      <c r="C145" s="1" t="s">
        <v>29</v>
      </c>
      <c r="D145" s="1" t="s">
        <v>36</v>
      </c>
      <c r="E145" s="1" t="s">
        <v>120</v>
      </c>
      <c r="F145" s="1" t="s">
        <v>21</v>
      </c>
      <c r="G145" s="1" t="s">
        <v>128</v>
      </c>
      <c r="H145" s="1" t="s">
        <v>132</v>
      </c>
      <c r="I145" s="1" t="s">
        <v>107</v>
      </c>
      <c r="J145" s="1" t="s">
        <v>108</v>
      </c>
      <c r="K145" s="1" t="s">
        <v>130</v>
      </c>
      <c r="L145" s="1">
        <v>3067605</v>
      </c>
      <c r="M145" s="1" t="s">
        <v>310</v>
      </c>
      <c r="N145" s="5">
        <f>DATE(2024,2,5)</f>
        <v>45327</v>
      </c>
      <c r="O145" s="5">
        <f>DATE(2026,12,18)</f>
        <v>46374</v>
      </c>
      <c r="P145" s="5">
        <f t="shared" si="40"/>
        <v>47469</v>
      </c>
      <c r="Q145" s="1">
        <v>3706</v>
      </c>
      <c r="R145" s="1">
        <v>1200</v>
      </c>
      <c r="S145" s="1">
        <f t="shared" si="41"/>
        <v>3200</v>
      </c>
      <c r="T145" s="1">
        <v>2.5</v>
      </c>
      <c r="U145" s="1" t="str">
        <f t="shared" si="42"/>
        <v>SIM</v>
      </c>
      <c r="V145" s="1">
        <f t="shared" si="43"/>
        <v>1048</v>
      </c>
      <c r="W145" s="4">
        <f t="shared" si="44"/>
        <v>3.053435114503817</v>
      </c>
      <c r="X145" s="4">
        <f t="shared" si="45"/>
        <v>1114.5038167938933</v>
      </c>
      <c r="Y145" s="4">
        <f t="shared" si="46"/>
        <v>1.3931297709923667</v>
      </c>
      <c r="AB145" s="5">
        <f t="shared" si="47"/>
        <v>45292</v>
      </c>
      <c r="AC145" s="5">
        <f t="shared" si="48"/>
        <v>45657</v>
      </c>
      <c r="AD145" s="1">
        <v>139</v>
      </c>
      <c r="AE145" s="1">
        <f t="shared" si="49"/>
        <v>0</v>
      </c>
      <c r="AF145" s="1">
        <f t="shared" si="50"/>
        <v>331</v>
      </c>
      <c r="AG145" s="1">
        <f t="shared" si="51"/>
        <v>0</v>
      </c>
      <c r="AH145" s="1">
        <f t="shared" si="52"/>
        <v>0</v>
      </c>
      <c r="AI145" s="1">
        <f t="shared" si="53"/>
        <v>0</v>
      </c>
      <c r="AJ145" s="3">
        <f t="shared" si="54"/>
        <v>0.90437158469945356</v>
      </c>
      <c r="AK145" s="3">
        <f t="shared" si="55"/>
        <v>1.2599069786843535</v>
      </c>
      <c r="AL145" s="3">
        <f t="shared" si="56"/>
        <v>175.12707003712515</v>
      </c>
      <c r="AM145" s="3">
        <f t="shared" si="57"/>
        <v>437.81767509281286</v>
      </c>
      <c r="AN145" s="3">
        <f t="shared" si="58"/>
        <v>218.90883754640643</v>
      </c>
      <c r="AO145" s="3">
        <f t="shared" si="59"/>
        <v>656.72651263921932</v>
      </c>
      <c r="AP145" s="1" t="str">
        <f>INDEX({"EAD";"EAD";"EAD";"EAD MOOC";"EAD";"EAD";"EAD FP";"EAD";"PRESENCIAL";"PRESENCIAL";"PRESENCIAL";"PRESENCIAL"}, MATCH(CONCATENATE(E145, ".", F145),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46" spans="1:42" x14ac:dyDescent="0.25">
      <c r="A146" s="1" t="s">
        <v>27</v>
      </c>
      <c r="B146" s="1" t="s">
        <v>35</v>
      </c>
      <c r="C146" s="1" t="s">
        <v>29</v>
      </c>
      <c r="D146" s="1" t="s">
        <v>36</v>
      </c>
      <c r="E146" s="1" t="s">
        <v>120</v>
      </c>
      <c r="F146" s="1" t="s">
        <v>21</v>
      </c>
      <c r="G146" s="1" t="s">
        <v>128</v>
      </c>
      <c r="H146" s="1" t="s">
        <v>208</v>
      </c>
      <c r="I146" s="1" t="s">
        <v>209</v>
      </c>
      <c r="J146" s="1" t="s">
        <v>125</v>
      </c>
      <c r="K146" s="1" t="s">
        <v>130</v>
      </c>
      <c r="L146" s="1">
        <v>3067644</v>
      </c>
      <c r="M146" s="1" t="s">
        <v>311</v>
      </c>
      <c r="N146" s="5">
        <f>DATE(2024,2,5)</f>
        <v>45327</v>
      </c>
      <c r="O146" s="5">
        <f>DATE(2026,12,18)</f>
        <v>46374</v>
      </c>
      <c r="P146" s="5">
        <f t="shared" si="40"/>
        <v>47469</v>
      </c>
      <c r="Q146" s="1">
        <v>3628</v>
      </c>
      <c r="R146" s="1">
        <v>1200</v>
      </c>
      <c r="S146" s="1">
        <f t="shared" si="41"/>
        <v>3200</v>
      </c>
      <c r="T146" s="1">
        <v>1.5</v>
      </c>
      <c r="U146" s="1" t="str">
        <f t="shared" si="42"/>
        <v>SIM</v>
      </c>
      <c r="V146" s="1">
        <f t="shared" si="43"/>
        <v>1048</v>
      </c>
      <c r="W146" s="4">
        <f t="shared" si="44"/>
        <v>3.053435114503817</v>
      </c>
      <c r="X146" s="4">
        <f t="shared" si="45"/>
        <v>1114.5038167938933</v>
      </c>
      <c r="Y146" s="4">
        <f t="shared" si="46"/>
        <v>1.3931297709923667</v>
      </c>
      <c r="AB146" s="5">
        <f t="shared" si="47"/>
        <v>45292</v>
      </c>
      <c r="AC146" s="5">
        <f t="shared" si="48"/>
        <v>45657</v>
      </c>
      <c r="AD146" s="1">
        <v>68</v>
      </c>
      <c r="AE146" s="1">
        <f t="shared" si="49"/>
        <v>0</v>
      </c>
      <c r="AF146" s="1">
        <f t="shared" si="50"/>
        <v>331</v>
      </c>
      <c r="AG146" s="1">
        <f t="shared" si="51"/>
        <v>0</v>
      </c>
      <c r="AH146" s="1">
        <f t="shared" si="52"/>
        <v>0</v>
      </c>
      <c r="AI146" s="1">
        <f t="shared" si="53"/>
        <v>0</v>
      </c>
      <c r="AJ146" s="3">
        <f t="shared" si="54"/>
        <v>0.90437158469945356</v>
      </c>
      <c r="AK146" s="3">
        <f t="shared" si="55"/>
        <v>1.2599069786843535</v>
      </c>
      <c r="AL146" s="3">
        <f t="shared" si="56"/>
        <v>85.673674550536035</v>
      </c>
      <c r="AM146" s="3">
        <f t="shared" si="57"/>
        <v>128.51051182580406</v>
      </c>
      <c r="AN146" s="3">
        <f t="shared" si="58"/>
        <v>0</v>
      </c>
      <c r="AO146" s="3">
        <f t="shared" si="59"/>
        <v>128.51051182580406</v>
      </c>
      <c r="AP146" s="1" t="str">
        <f>INDEX({"EAD";"EAD";"EAD";"EAD MOOC";"EAD";"EAD";"EAD FP";"EAD";"PRESENCIAL";"PRESENCIAL";"PRESENCIAL";"PRESENCIAL"}, MATCH(CONCATENATE(E146, ".", F146),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47" spans="1:42" x14ac:dyDescent="0.25">
      <c r="A147" s="1" t="s">
        <v>27</v>
      </c>
      <c r="B147" s="1" t="s">
        <v>35</v>
      </c>
      <c r="C147" s="1" t="s">
        <v>29</v>
      </c>
      <c r="D147" s="1" t="s">
        <v>36</v>
      </c>
      <c r="E147" s="1" t="s">
        <v>120</v>
      </c>
      <c r="F147" s="1" t="s">
        <v>21</v>
      </c>
      <c r="G147" s="1" t="s">
        <v>128</v>
      </c>
      <c r="H147" s="1" t="s">
        <v>132</v>
      </c>
      <c r="I147" s="1" t="s">
        <v>107</v>
      </c>
      <c r="J147" s="1" t="s">
        <v>108</v>
      </c>
      <c r="K147" s="1" t="s">
        <v>163</v>
      </c>
      <c r="L147" s="1">
        <v>3069598</v>
      </c>
      <c r="M147" s="1" t="s">
        <v>312</v>
      </c>
      <c r="N147" s="5">
        <f>DATE(2024,2,5)</f>
        <v>45327</v>
      </c>
      <c r="O147" s="5">
        <f>DATE(2025,6,27)</f>
        <v>45835</v>
      </c>
      <c r="P147" s="5">
        <f t="shared" si="40"/>
        <v>46930</v>
      </c>
      <c r="Q147" s="1">
        <v>1418</v>
      </c>
      <c r="R147" s="1">
        <v>1200</v>
      </c>
      <c r="S147" s="1">
        <f t="shared" si="41"/>
        <v>1200</v>
      </c>
      <c r="T147" s="1">
        <v>2.5</v>
      </c>
      <c r="U147" s="1" t="str">
        <f t="shared" si="42"/>
        <v>SIM</v>
      </c>
      <c r="V147" s="1">
        <f t="shared" si="43"/>
        <v>509</v>
      </c>
      <c r="W147" s="4">
        <f t="shared" si="44"/>
        <v>2.3575638506876229</v>
      </c>
      <c r="X147" s="4">
        <f t="shared" si="45"/>
        <v>860.51080550098231</v>
      </c>
      <c r="Y147" s="4">
        <f t="shared" si="46"/>
        <v>1.075638506876228</v>
      </c>
      <c r="AB147" s="5">
        <f t="shared" si="47"/>
        <v>45292</v>
      </c>
      <c r="AC147" s="5">
        <f t="shared" si="48"/>
        <v>45657</v>
      </c>
      <c r="AD147" s="1">
        <v>28</v>
      </c>
      <c r="AE147" s="1">
        <f t="shared" si="49"/>
        <v>0</v>
      </c>
      <c r="AF147" s="1">
        <f t="shared" si="50"/>
        <v>331</v>
      </c>
      <c r="AG147" s="1">
        <f t="shared" si="51"/>
        <v>0</v>
      </c>
      <c r="AH147" s="1">
        <f t="shared" si="52"/>
        <v>0</v>
      </c>
      <c r="AI147" s="1">
        <f t="shared" si="53"/>
        <v>0</v>
      </c>
      <c r="AJ147" s="3">
        <f t="shared" si="54"/>
        <v>0.90437158469945356</v>
      </c>
      <c r="AK147" s="3">
        <f t="shared" si="55"/>
        <v>0.97277690102740833</v>
      </c>
      <c r="AL147" s="3">
        <f t="shared" si="56"/>
        <v>27.237753228767431</v>
      </c>
      <c r="AM147" s="3">
        <f t="shared" si="57"/>
        <v>68.094383071918571</v>
      </c>
      <c r="AN147" s="3">
        <f t="shared" si="58"/>
        <v>34.047191535959286</v>
      </c>
      <c r="AO147" s="3">
        <f t="shared" si="59"/>
        <v>102.14157460787786</v>
      </c>
      <c r="AP147" s="1" t="str">
        <f>INDEX({"EAD";"EAD";"EAD";"EAD MOOC";"EAD";"EAD";"EAD FP";"EAD";"PRESENCIAL";"PRESENCIAL";"PRESENCIAL";"PRESENCIAL"}, MATCH(CONCATENATE(E147, ".", F147),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48" spans="1:42" x14ac:dyDescent="0.25">
      <c r="A148" s="1" t="s">
        <v>27</v>
      </c>
      <c r="B148" s="1" t="s">
        <v>35</v>
      </c>
      <c r="C148" s="1" t="s">
        <v>29</v>
      </c>
      <c r="D148" s="1" t="s">
        <v>36</v>
      </c>
      <c r="E148" s="1" t="s">
        <v>120</v>
      </c>
      <c r="F148" s="1" t="s">
        <v>21</v>
      </c>
      <c r="G148" s="1" t="s">
        <v>278</v>
      </c>
      <c r="H148" s="1" t="s">
        <v>279</v>
      </c>
      <c r="I148" s="1" t="s">
        <v>172</v>
      </c>
      <c r="J148" s="1" t="s">
        <v>125</v>
      </c>
      <c r="K148" s="1" t="s">
        <v>109</v>
      </c>
      <c r="L148" s="1">
        <v>3081868</v>
      </c>
      <c r="M148" s="1" t="s">
        <v>313</v>
      </c>
      <c r="N148" s="5">
        <f>DATE(2024,2,5)</f>
        <v>45327</v>
      </c>
      <c r="O148" s="5">
        <f>DATE(2027,12,17)</f>
        <v>46738</v>
      </c>
      <c r="P148" s="5">
        <f t="shared" si="40"/>
        <v>47833</v>
      </c>
      <c r="Q148" s="1">
        <v>3200</v>
      </c>
      <c r="R148" s="1">
        <v>3200</v>
      </c>
      <c r="S148" s="1">
        <f t="shared" si="41"/>
        <v>3200</v>
      </c>
      <c r="T148" s="1">
        <v>2.5</v>
      </c>
      <c r="U148" s="1" t="str">
        <f t="shared" si="42"/>
        <v>SIM</v>
      </c>
      <c r="V148" s="1">
        <f t="shared" si="43"/>
        <v>1412</v>
      </c>
      <c r="W148" s="4">
        <f t="shared" si="44"/>
        <v>2.2662889518413598</v>
      </c>
      <c r="X148" s="4">
        <f t="shared" si="45"/>
        <v>827.19546742209639</v>
      </c>
      <c r="Y148" s="4">
        <f t="shared" si="46"/>
        <v>1.0339943342776206</v>
      </c>
      <c r="AB148" s="5">
        <f t="shared" si="47"/>
        <v>45292</v>
      </c>
      <c r="AC148" s="5">
        <f t="shared" si="48"/>
        <v>45657</v>
      </c>
      <c r="AD148" s="1">
        <v>9</v>
      </c>
      <c r="AE148" s="1">
        <f t="shared" si="49"/>
        <v>0</v>
      </c>
      <c r="AF148" s="1">
        <f t="shared" si="50"/>
        <v>331</v>
      </c>
      <c r="AG148" s="1">
        <f t="shared" si="51"/>
        <v>0</v>
      </c>
      <c r="AH148" s="1">
        <f t="shared" si="52"/>
        <v>0</v>
      </c>
      <c r="AI148" s="1">
        <f t="shared" si="53"/>
        <v>0</v>
      </c>
      <c r="AJ148" s="3">
        <f t="shared" si="54"/>
        <v>0.90437158469945356</v>
      </c>
      <c r="AK148" s="3">
        <f t="shared" si="55"/>
        <v>0.93511509466090825</v>
      </c>
      <c r="AL148" s="3">
        <f t="shared" si="56"/>
        <v>8.4160358519481751</v>
      </c>
      <c r="AM148" s="3">
        <f t="shared" si="57"/>
        <v>21.040089629870437</v>
      </c>
      <c r="AN148" s="3">
        <f t="shared" si="58"/>
        <v>0</v>
      </c>
      <c r="AO148" s="3">
        <f t="shared" si="59"/>
        <v>21.040089629870437</v>
      </c>
      <c r="AP148" s="1" t="str">
        <f>INDEX({"EAD";"EAD";"EAD";"EAD MOOC";"EAD";"EAD";"EAD FP";"EAD";"PRESENCIAL";"PRESENCIAL";"PRESENCIAL";"PRESENCIAL"}, MATCH(CONCATENATE(E148, ".", F148),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49" spans="1:42" x14ac:dyDescent="0.25">
      <c r="A149" s="1" t="s">
        <v>27</v>
      </c>
      <c r="B149" s="1" t="s">
        <v>35</v>
      </c>
      <c r="C149" s="1" t="s">
        <v>29</v>
      </c>
      <c r="D149" s="1" t="s">
        <v>36</v>
      </c>
      <c r="E149" s="1" t="s">
        <v>120</v>
      </c>
      <c r="F149" s="1" t="s">
        <v>21</v>
      </c>
      <c r="G149" s="1" t="s">
        <v>121</v>
      </c>
      <c r="H149" s="1" t="s">
        <v>254</v>
      </c>
      <c r="I149" s="1" t="s">
        <v>107</v>
      </c>
      <c r="J149" s="1" t="s">
        <v>108</v>
      </c>
      <c r="K149" s="1" t="s">
        <v>109</v>
      </c>
      <c r="L149" s="1">
        <v>3081878</v>
      </c>
      <c r="M149" s="1" t="s">
        <v>314</v>
      </c>
      <c r="N149" s="5">
        <f>DATE(2024,2,5)</f>
        <v>45327</v>
      </c>
      <c r="O149" s="5">
        <f>DATE(2028,12,22)</f>
        <v>47109</v>
      </c>
      <c r="P149" s="5">
        <f t="shared" si="40"/>
        <v>48204</v>
      </c>
      <c r="Q149" s="1">
        <v>3738</v>
      </c>
      <c r="R149" s="1">
        <v>3600</v>
      </c>
      <c r="S149" s="1">
        <f t="shared" si="41"/>
        <v>3600</v>
      </c>
      <c r="T149" s="1">
        <v>2.5</v>
      </c>
      <c r="U149" s="1" t="str">
        <f t="shared" si="42"/>
        <v>SIM</v>
      </c>
      <c r="V149" s="1">
        <f t="shared" si="43"/>
        <v>1783</v>
      </c>
      <c r="W149" s="4">
        <f t="shared" si="44"/>
        <v>2.0190689848569825</v>
      </c>
      <c r="X149" s="4">
        <f t="shared" si="45"/>
        <v>736.96017947279859</v>
      </c>
      <c r="Y149" s="4">
        <f t="shared" si="46"/>
        <v>0.92120022434099824</v>
      </c>
      <c r="AB149" s="5">
        <f t="shared" si="47"/>
        <v>45292</v>
      </c>
      <c r="AC149" s="5">
        <f t="shared" si="48"/>
        <v>45657</v>
      </c>
      <c r="AD149" s="1">
        <v>11</v>
      </c>
      <c r="AE149" s="1">
        <f t="shared" si="49"/>
        <v>0</v>
      </c>
      <c r="AF149" s="1">
        <f t="shared" si="50"/>
        <v>331</v>
      </c>
      <c r="AG149" s="1">
        <f t="shared" si="51"/>
        <v>0</v>
      </c>
      <c r="AH149" s="1">
        <f t="shared" si="52"/>
        <v>0</v>
      </c>
      <c r="AI149" s="1">
        <f t="shared" si="53"/>
        <v>0</v>
      </c>
      <c r="AJ149" s="3">
        <f t="shared" si="54"/>
        <v>0.90437158469945356</v>
      </c>
      <c r="AK149" s="3">
        <f t="shared" si="55"/>
        <v>0.83310730671276068</v>
      </c>
      <c r="AL149" s="3">
        <f t="shared" si="56"/>
        <v>9.1641803738403667</v>
      </c>
      <c r="AM149" s="3">
        <f t="shared" si="57"/>
        <v>22.910450934600917</v>
      </c>
      <c r="AN149" s="3">
        <f t="shared" si="58"/>
        <v>11.455225467300458</v>
      </c>
      <c r="AO149" s="3">
        <f t="shared" si="59"/>
        <v>34.365676401901375</v>
      </c>
      <c r="AP149" s="1" t="str">
        <f>INDEX({"EAD";"EAD";"EAD";"EAD MOOC";"EAD";"EAD";"EAD FP";"EAD";"PRESENCIAL";"PRESENCIAL";"PRESENCIAL";"PRESENCIAL"}, MATCH(CONCATENATE(E149, ".", F149),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50" spans="1:42" x14ac:dyDescent="0.25">
      <c r="A150" s="1" t="s">
        <v>27</v>
      </c>
      <c r="B150" s="1" t="s">
        <v>35</v>
      </c>
      <c r="C150" s="1" t="s">
        <v>29</v>
      </c>
      <c r="D150" s="1" t="s">
        <v>36</v>
      </c>
      <c r="E150" s="1" t="s">
        <v>120</v>
      </c>
      <c r="F150" s="1" t="s">
        <v>21</v>
      </c>
      <c r="G150" s="1" t="s">
        <v>128</v>
      </c>
      <c r="H150" s="1" t="s">
        <v>315</v>
      </c>
      <c r="I150" s="1" t="s">
        <v>228</v>
      </c>
      <c r="J150" s="1" t="s">
        <v>108</v>
      </c>
      <c r="K150" s="1" t="s">
        <v>316</v>
      </c>
      <c r="L150" s="1">
        <v>3133310</v>
      </c>
      <c r="M150" s="1" t="s">
        <v>317</v>
      </c>
      <c r="N150" s="5">
        <f>DATE(2024,2,19)</f>
        <v>45341</v>
      </c>
      <c r="O150" s="5">
        <f>DATE(2026,12,18)</f>
        <v>46374</v>
      </c>
      <c r="P150" s="5">
        <f t="shared" si="40"/>
        <v>47469</v>
      </c>
      <c r="Q150" s="1">
        <v>2363</v>
      </c>
      <c r="R150" s="1">
        <v>1000</v>
      </c>
      <c r="S150" s="1">
        <f t="shared" si="41"/>
        <v>2400</v>
      </c>
      <c r="T150" s="1">
        <v>2.5</v>
      </c>
      <c r="U150" s="1" t="str">
        <f t="shared" si="42"/>
        <v>SIM</v>
      </c>
      <c r="V150" s="1">
        <f t="shared" si="43"/>
        <v>1034</v>
      </c>
      <c r="W150" s="4">
        <f t="shared" si="44"/>
        <v>2.2852998065764023</v>
      </c>
      <c r="X150" s="4">
        <f t="shared" si="45"/>
        <v>834.13442940038681</v>
      </c>
      <c r="Y150" s="4">
        <f t="shared" si="46"/>
        <v>1.0426680367504835</v>
      </c>
      <c r="AB150" s="5">
        <f t="shared" si="47"/>
        <v>45292</v>
      </c>
      <c r="AC150" s="5">
        <f t="shared" si="48"/>
        <v>45657</v>
      </c>
      <c r="AD150" s="1">
        <v>13</v>
      </c>
      <c r="AE150" s="1">
        <f t="shared" si="49"/>
        <v>0</v>
      </c>
      <c r="AF150" s="1">
        <f t="shared" si="50"/>
        <v>317</v>
      </c>
      <c r="AG150" s="1">
        <f t="shared" si="51"/>
        <v>0</v>
      </c>
      <c r="AH150" s="1">
        <f t="shared" si="52"/>
        <v>0</v>
      </c>
      <c r="AI150" s="1">
        <f t="shared" si="53"/>
        <v>0</v>
      </c>
      <c r="AJ150" s="3">
        <f t="shared" si="54"/>
        <v>0.86612021857923494</v>
      </c>
      <c r="AK150" s="3">
        <f t="shared" si="55"/>
        <v>0.90307586789591054</v>
      </c>
      <c r="AL150" s="3">
        <f t="shared" si="56"/>
        <v>11.739986282646838</v>
      </c>
      <c r="AM150" s="3">
        <f t="shared" si="57"/>
        <v>29.349965706617095</v>
      </c>
      <c r="AN150" s="3">
        <f t="shared" si="58"/>
        <v>14.674982853308547</v>
      </c>
      <c r="AO150" s="3">
        <f t="shared" si="59"/>
        <v>44.02494855992564</v>
      </c>
      <c r="AP150" s="1" t="str">
        <f>INDEX({"EAD";"EAD";"EAD";"EAD MOOC";"EAD";"EAD";"EAD FP";"EAD";"PRESENCIAL";"PRESENCIAL";"PRESENCIAL";"PRESENCIAL"}, MATCH(CONCATENATE(E150, ".", F150),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51" spans="1:42" x14ac:dyDescent="0.25">
      <c r="A151" s="1" t="s">
        <v>27</v>
      </c>
      <c r="B151" s="1" t="s">
        <v>35</v>
      </c>
      <c r="C151" s="1" t="s">
        <v>29</v>
      </c>
      <c r="D151" s="1" t="s">
        <v>36</v>
      </c>
      <c r="E151" s="1" t="s">
        <v>120</v>
      </c>
      <c r="F151" s="1" t="s">
        <v>21</v>
      </c>
      <c r="G151" s="1" t="s">
        <v>128</v>
      </c>
      <c r="H151" s="1" t="s">
        <v>318</v>
      </c>
      <c r="I151" s="1" t="s">
        <v>107</v>
      </c>
      <c r="J151" s="1" t="s">
        <v>108</v>
      </c>
      <c r="K151" s="1" t="s">
        <v>130</v>
      </c>
      <c r="L151" s="1">
        <v>3133309</v>
      </c>
      <c r="M151" s="1" t="s">
        <v>319</v>
      </c>
      <c r="N151" s="5">
        <f>DATE(2024,2,26)</f>
        <v>45348</v>
      </c>
      <c r="O151" s="5">
        <f>DATE(2026,12,18)</f>
        <v>46374</v>
      </c>
      <c r="P151" s="5">
        <f t="shared" si="40"/>
        <v>47469</v>
      </c>
      <c r="Q151" s="1">
        <v>3560</v>
      </c>
      <c r="R151" s="1">
        <v>1200</v>
      </c>
      <c r="S151" s="1">
        <f t="shared" si="41"/>
        <v>3200</v>
      </c>
      <c r="T151" s="1">
        <v>2</v>
      </c>
      <c r="U151" s="1" t="str">
        <f t="shared" si="42"/>
        <v>SIM</v>
      </c>
      <c r="V151" s="1">
        <f t="shared" si="43"/>
        <v>1027</v>
      </c>
      <c r="W151" s="4">
        <f t="shared" si="44"/>
        <v>3.1158714703018502</v>
      </c>
      <c r="X151" s="4">
        <f t="shared" si="45"/>
        <v>1137.2930866601753</v>
      </c>
      <c r="Y151" s="4">
        <f t="shared" si="46"/>
        <v>1.421616358325219</v>
      </c>
      <c r="AB151" s="5">
        <f t="shared" si="47"/>
        <v>45292</v>
      </c>
      <c r="AC151" s="5">
        <f t="shared" si="48"/>
        <v>45657</v>
      </c>
      <c r="AD151" s="1">
        <v>24</v>
      </c>
      <c r="AE151" s="1">
        <f t="shared" si="49"/>
        <v>0</v>
      </c>
      <c r="AF151" s="1">
        <f t="shared" si="50"/>
        <v>310</v>
      </c>
      <c r="AG151" s="1">
        <f t="shared" si="51"/>
        <v>0</v>
      </c>
      <c r="AH151" s="1">
        <f t="shared" si="52"/>
        <v>0</v>
      </c>
      <c r="AI151" s="1">
        <f t="shared" si="53"/>
        <v>0</v>
      </c>
      <c r="AJ151" s="3">
        <f t="shared" si="54"/>
        <v>0.84699453551912574</v>
      </c>
      <c r="AK151" s="3">
        <f t="shared" si="55"/>
        <v>1.2041012871060599</v>
      </c>
      <c r="AL151" s="3">
        <f t="shared" si="56"/>
        <v>28.898430890545438</v>
      </c>
      <c r="AM151" s="3">
        <f t="shared" si="57"/>
        <v>57.796861781090875</v>
      </c>
      <c r="AN151" s="3">
        <f t="shared" si="58"/>
        <v>28.898430890545438</v>
      </c>
      <c r="AO151" s="3">
        <f t="shared" si="59"/>
        <v>86.695292671636309</v>
      </c>
      <c r="AP151" s="1" t="str">
        <f>INDEX({"EAD";"EAD";"EAD";"EAD MOOC";"EAD";"EAD";"EAD FP";"EAD";"PRESENCIAL";"PRESENCIAL";"PRESENCIAL";"PRESENCIAL"}, MATCH(CONCATENATE(E151, ".", F151),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52" spans="1:42" x14ac:dyDescent="0.25">
      <c r="A152" s="1" t="s">
        <v>27</v>
      </c>
      <c r="B152" s="1" t="s">
        <v>37</v>
      </c>
      <c r="C152" s="1" t="s">
        <v>29</v>
      </c>
      <c r="D152" s="1" t="s">
        <v>38</v>
      </c>
      <c r="E152" s="1" t="s">
        <v>120</v>
      </c>
      <c r="F152" s="1" t="s">
        <v>21</v>
      </c>
      <c r="G152" s="1" t="s">
        <v>278</v>
      </c>
      <c r="H152" s="1" t="s">
        <v>320</v>
      </c>
      <c r="I152" s="1" t="s">
        <v>172</v>
      </c>
      <c r="J152" s="1" t="s">
        <v>125</v>
      </c>
      <c r="K152" s="1" t="s">
        <v>109</v>
      </c>
      <c r="L152" s="1">
        <v>390221</v>
      </c>
      <c r="M152" s="1" t="s">
        <v>321</v>
      </c>
      <c r="N152" s="5">
        <f>DATE(2010,2,9)</f>
        <v>40218</v>
      </c>
      <c r="O152" s="5">
        <f>DATE(2013,12,9)</f>
        <v>41617</v>
      </c>
      <c r="P152" s="5">
        <f t="shared" si="40"/>
        <v>42712</v>
      </c>
      <c r="Q152" s="1">
        <v>3456</v>
      </c>
      <c r="R152" s="1">
        <v>3200</v>
      </c>
      <c r="S152" s="1">
        <f t="shared" si="41"/>
        <v>3200</v>
      </c>
      <c r="T152" s="1">
        <v>2.5</v>
      </c>
      <c r="U152" s="1" t="str">
        <f t="shared" si="42"/>
        <v>NÃO</v>
      </c>
      <c r="V152" s="1">
        <f t="shared" si="43"/>
        <v>1400</v>
      </c>
      <c r="W152" s="4">
        <f t="shared" si="44"/>
        <v>2.2857142857142856</v>
      </c>
      <c r="X152" s="4">
        <f t="shared" si="45"/>
        <v>834.28571428571422</v>
      </c>
      <c r="Y152" s="4">
        <f t="shared" si="46"/>
        <v>1.0428571428571427</v>
      </c>
      <c r="AB152" s="5">
        <f t="shared" si="47"/>
        <v>45292</v>
      </c>
      <c r="AC152" s="5">
        <f t="shared" si="48"/>
        <v>45657</v>
      </c>
      <c r="AD152" s="1">
        <v>1</v>
      </c>
      <c r="AE152" s="1">
        <f t="shared" si="49"/>
        <v>0</v>
      </c>
      <c r="AF152" s="1">
        <f t="shared" si="50"/>
        <v>0</v>
      </c>
      <c r="AG152" s="1">
        <f t="shared" si="51"/>
        <v>0</v>
      </c>
      <c r="AH152" s="1">
        <f t="shared" si="52"/>
        <v>0</v>
      </c>
      <c r="AI152" s="1">
        <f t="shared" si="53"/>
        <v>183</v>
      </c>
      <c r="AJ152" s="3">
        <f t="shared" si="54"/>
        <v>0.5</v>
      </c>
      <c r="AK152" s="3">
        <f t="shared" si="55"/>
        <v>0.52142857142857135</v>
      </c>
      <c r="AL152" s="3">
        <f t="shared" si="56"/>
        <v>0</v>
      </c>
      <c r="AM152" s="3">
        <f t="shared" si="57"/>
        <v>0</v>
      </c>
      <c r="AN152" s="3">
        <f t="shared" si="58"/>
        <v>0</v>
      </c>
      <c r="AO152" s="3">
        <f t="shared" si="59"/>
        <v>0</v>
      </c>
      <c r="AP152" s="1" t="str">
        <f>INDEX({"EAD";"EAD";"EAD";"EAD MOOC";"EAD";"EAD";"EAD FP";"EAD";"PRESENCIAL";"PRESENCIAL";"PRESENCIAL";"PRESENCIAL"}, MATCH(CONCATENATE(E152, ".", F152),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53" spans="1:42" x14ac:dyDescent="0.25">
      <c r="A153" s="1" t="s">
        <v>27</v>
      </c>
      <c r="B153" s="1" t="s">
        <v>37</v>
      </c>
      <c r="C153" s="1" t="s">
        <v>29</v>
      </c>
      <c r="D153" s="1" t="s">
        <v>38</v>
      </c>
      <c r="E153" s="1" t="s">
        <v>120</v>
      </c>
      <c r="F153" s="1" t="s">
        <v>21</v>
      </c>
      <c r="G153" s="1" t="s">
        <v>121</v>
      </c>
      <c r="H153" s="1" t="s">
        <v>322</v>
      </c>
      <c r="I153" s="1" t="s">
        <v>107</v>
      </c>
      <c r="J153" s="1" t="s">
        <v>108</v>
      </c>
      <c r="K153" s="1" t="s">
        <v>109</v>
      </c>
      <c r="L153" s="1">
        <v>806661</v>
      </c>
      <c r="M153" s="1" t="s">
        <v>323</v>
      </c>
      <c r="N153" s="5">
        <f>DATE(2011,3,1)</f>
        <v>40603</v>
      </c>
      <c r="O153" s="5">
        <f>DATE(2015,12,23)</f>
        <v>42361</v>
      </c>
      <c r="P153" s="5">
        <f t="shared" si="40"/>
        <v>43456</v>
      </c>
      <c r="Q153" s="1">
        <v>4770</v>
      </c>
      <c r="R153" s="1">
        <v>3600</v>
      </c>
      <c r="S153" s="1">
        <f t="shared" si="41"/>
        <v>3600</v>
      </c>
      <c r="T153" s="1">
        <v>2.5</v>
      </c>
      <c r="U153" s="1" t="str">
        <f t="shared" si="42"/>
        <v>NÃO</v>
      </c>
      <c r="V153" s="1">
        <f t="shared" si="43"/>
        <v>1759</v>
      </c>
      <c r="W153" s="4">
        <f t="shared" si="44"/>
        <v>2.0466173962478682</v>
      </c>
      <c r="X153" s="4">
        <f t="shared" si="45"/>
        <v>747.01534963047186</v>
      </c>
      <c r="Y153" s="4">
        <f t="shared" si="46"/>
        <v>0.93376918703808987</v>
      </c>
      <c r="AB153" s="5">
        <f t="shared" si="47"/>
        <v>45292</v>
      </c>
      <c r="AC153" s="5">
        <f t="shared" si="48"/>
        <v>45657</v>
      </c>
      <c r="AE153" s="1">
        <f t="shared" si="49"/>
        <v>0</v>
      </c>
      <c r="AF153" s="1">
        <f t="shared" si="50"/>
        <v>0</v>
      </c>
      <c r="AG153" s="1">
        <f t="shared" si="51"/>
        <v>0</v>
      </c>
      <c r="AH153" s="1">
        <f t="shared" si="52"/>
        <v>0</v>
      </c>
      <c r="AI153" s="1">
        <f t="shared" si="53"/>
        <v>183</v>
      </c>
      <c r="AJ153" s="3">
        <f t="shared" si="54"/>
        <v>0.5</v>
      </c>
      <c r="AK153" s="3">
        <f t="shared" si="55"/>
        <v>0.46688459351904493</v>
      </c>
      <c r="AL153" s="3">
        <f t="shared" si="56"/>
        <v>0</v>
      </c>
      <c r="AM153" s="3">
        <f t="shared" si="57"/>
        <v>0</v>
      </c>
      <c r="AN153" s="3">
        <f t="shared" si="58"/>
        <v>0</v>
      </c>
      <c r="AO153" s="3">
        <f t="shared" si="59"/>
        <v>0</v>
      </c>
      <c r="AP153" s="1" t="str">
        <f>INDEX({"EAD";"EAD";"EAD";"EAD MOOC";"EAD";"EAD";"EAD FP";"EAD";"PRESENCIAL";"PRESENCIAL";"PRESENCIAL";"PRESENCIAL"}, MATCH(CONCATENATE(E153, ".", F153),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54" spans="1:42" x14ac:dyDescent="0.25">
      <c r="A154" s="1" t="s">
        <v>27</v>
      </c>
      <c r="B154" s="1" t="s">
        <v>37</v>
      </c>
      <c r="C154" s="1" t="s">
        <v>29</v>
      </c>
      <c r="D154" s="1" t="s">
        <v>38</v>
      </c>
      <c r="E154" s="1" t="s">
        <v>120</v>
      </c>
      <c r="F154" s="1" t="s">
        <v>21</v>
      </c>
      <c r="G154" s="1" t="s">
        <v>121</v>
      </c>
      <c r="H154" s="1" t="s">
        <v>322</v>
      </c>
      <c r="I154" s="1" t="s">
        <v>107</v>
      </c>
      <c r="J154" s="1" t="s">
        <v>108</v>
      </c>
      <c r="K154" s="1" t="s">
        <v>109</v>
      </c>
      <c r="L154" s="1">
        <v>1252226</v>
      </c>
      <c r="M154" s="1" t="s">
        <v>324</v>
      </c>
      <c r="N154" s="5">
        <f>DATE(2012,3,26)</f>
        <v>40994</v>
      </c>
      <c r="O154" s="5">
        <f>DATE(2016,12,22)</f>
        <v>42726</v>
      </c>
      <c r="P154" s="5">
        <f t="shared" si="40"/>
        <v>43821</v>
      </c>
      <c r="Q154" s="1">
        <v>4770</v>
      </c>
      <c r="R154" s="1">
        <v>3600</v>
      </c>
      <c r="S154" s="1">
        <f t="shared" si="41"/>
        <v>3600</v>
      </c>
      <c r="T154" s="1">
        <v>2.5</v>
      </c>
      <c r="U154" s="1" t="str">
        <f t="shared" si="42"/>
        <v>NÃO</v>
      </c>
      <c r="V154" s="1">
        <f t="shared" si="43"/>
        <v>1733</v>
      </c>
      <c r="W154" s="4">
        <f t="shared" si="44"/>
        <v>2.0773225620311599</v>
      </c>
      <c r="X154" s="4">
        <f t="shared" si="45"/>
        <v>758.22273514137339</v>
      </c>
      <c r="Y154" s="4">
        <f t="shared" si="46"/>
        <v>0.94777841892671677</v>
      </c>
      <c r="AB154" s="5">
        <f t="shared" si="47"/>
        <v>45292</v>
      </c>
      <c r="AC154" s="5">
        <f t="shared" si="48"/>
        <v>45657</v>
      </c>
      <c r="AE154" s="1">
        <f t="shared" si="49"/>
        <v>0</v>
      </c>
      <c r="AF154" s="1">
        <f t="shared" si="50"/>
        <v>0</v>
      </c>
      <c r="AG154" s="1">
        <f t="shared" si="51"/>
        <v>0</v>
      </c>
      <c r="AH154" s="1">
        <f t="shared" si="52"/>
        <v>0</v>
      </c>
      <c r="AI154" s="1">
        <f t="shared" si="53"/>
        <v>183</v>
      </c>
      <c r="AJ154" s="3">
        <f t="shared" si="54"/>
        <v>0.5</v>
      </c>
      <c r="AK154" s="3">
        <f t="shared" si="55"/>
        <v>0.47388920946335839</v>
      </c>
      <c r="AL154" s="3">
        <f t="shared" si="56"/>
        <v>0</v>
      </c>
      <c r="AM154" s="3">
        <f t="shared" si="57"/>
        <v>0</v>
      </c>
      <c r="AN154" s="3">
        <f t="shared" si="58"/>
        <v>0</v>
      </c>
      <c r="AO154" s="3">
        <f t="shared" si="59"/>
        <v>0</v>
      </c>
      <c r="AP154" s="1" t="str">
        <f>INDEX({"EAD";"EAD";"EAD";"EAD MOOC";"EAD";"EAD";"EAD FP";"EAD";"PRESENCIAL";"PRESENCIAL";"PRESENCIAL";"PRESENCIAL"}, MATCH(CONCATENATE(E154, ".", F154),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55" spans="1:42" x14ac:dyDescent="0.25">
      <c r="A155" s="1" t="s">
        <v>27</v>
      </c>
      <c r="B155" s="1" t="s">
        <v>37</v>
      </c>
      <c r="C155" s="1" t="s">
        <v>29</v>
      </c>
      <c r="D155" s="1" t="s">
        <v>38</v>
      </c>
      <c r="E155" s="1" t="s">
        <v>120</v>
      </c>
      <c r="F155" s="1" t="s">
        <v>21</v>
      </c>
      <c r="G155" s="1" t="s">
        <v>140</v>
      </c>
      <c r="H155" s="1" t="s">
        <v>325</v>
      </c>
      <c r="I155" s="1" t="s">
        <v>228</v>
      </c>
      <c r="J155" s="1" t="s">
        <v>108</v>
      </c>
      <c r="K155" s="1" t="s">
        <v>109</v>
      </c>
      <c r="L155" s="1">
        <v>1252383</v>
      </c>
      <c r="M155" s="1" t="s">
        <v>326</v>
      </c>
      <c r="N155" s="5">
        <f>DATE(2012,3,26)</f>
        <v>40994</v>
      </c>
      <c r="O155" s="5">
        <f>DATE(2014,12,19)</f>
        <v>41992</v>
      </c>
      <c r="P155" s="5">
        <f t="shared" si="40"/>
        <v>43087</v>
      </c>
      <c r="Q155" s="1">
        <v>2628</v>
      </c>
      <c r="R155" s="1">
        <v>2400</v>
      </c>
      <c r="S155" s="1">
        <f t="shared" si="41"/>
        <v>2400</v>
      </c>
      <c r="T155" s="1">
        <v>2.5</v>
      </c>
      <c r="U155" s="1" t="str">
        <f t="shared" si="42"/>
        <v>NÃO</v>
      </c>
      <c r="V155" s="1">
        <f t="shared" si="43"/>
        <v>999</v>
      </c>
      <c r="W155" s="4">
        <f t="shared" si="44"/>
        <v>2.4024024024024024</v>
      </c>
      <c r="X155" s="4">
        <f t="shared" si="45"/>
        <v>876.87687687687685</v>
      </c>
      <c r="Y155" s="4">
        <f t="shared" si="46"/>
        <v>1.0960960960960962</v>
      </c>
      <c r="AB155" s="5">
        <f t="shared" si="47"/>
        <v>45292</v>
      </c>
      <c r="AC155" s="5">
        <f t="shared" si="48"/>
        <v>45657</v>
      </c>
      <c r="AE155" s="1">
        <f t="shared" si="49"/>
        <v>0</v>
      </c>
      <c r="AF155" s="1">
        <f t="shared" si="50"/>
        <v>0</v>
      </c>
      <c r="AG155" s="1">
        <f t="shared" si="51"/>
        <v>0</v>
      </c>
      <c r="AH155" s="1">
        <f t="shared" si="52"/>
        <v>0</v>
      </c>
      <c r="AI155" s="1">
        <f t="shared" si="53"/>
        <v>183</v>
      </c>
      <c r="AJ155" s="3">
        <f t="shared" si="54"/>
        <v>0.5</v>
      </c>
      <c r="AK155" s="3">
        <f t="shared" si="55"/>
        <v>0.54804804804804808</v>
      </c>
      <c r="AL155" s="3">
        <f t="shared" si="56"/>
        <v>0</v>
      </c>
      <c r="AM155" s="3">
        <f t="shared" si="57"/>
        <v>0</v>
      </c>
      <c r="AN155" s="3">
        <f t="shared" si="58"/>
        <v>0</v>
      </c>
      <c r="AO155" s="3">
        <f t="shared" si="59"/>
        <v>0</v>
      </c>
      <c r="AP155" s="1" t="str">
        <f>INDEX({"EAD";"EAD";"EAD";"EAD MOOC";"EAD";"EAD";"EAD FP";"EAD";"PRESENCIAL";"PRESENCIAL";"PRESENCIAL";"PRESENCIAL"}, MATCH(CONCATENATE(E155, ".", F155),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56" spans="1:42" x14ac:dyDescent="0.25">
      <c r="A156" s="1" t="s">
        <v>27</v>
      </c>
      <c r="B156" s="1" t="s">
        <v>37</v>
      </c>
      <c r="C156" s="1" t="s">
        <v>29</v>
      </c>
      <c r="D156" s="1" t="s">
        <v>38</v>
      </c>
      <c r="E156" s="1" t="s">
        <v>120</v>
      </c>
      <c r="F156" s="1" t="s">
        <v>21</v>
      </c>
      <c r="G156" s="1" t="s">
        <v>121</v>
      </c>
      <c r="H156" s="1" t="s">
        <v>322</v>
      </c>
      <c r="I156" s="1" t="s">
        <v>107</v>
      </c>
      <c r="J156" s="1" t="s">
        <v>108</v>
      </c>
      <c r="K156" s="1" t="s">
        <v>109</v>
      </c>
      <c r="L156" s="1">
        <v>1602106</v>
      </c>
      <c r="M156" s="1" t="s">
        <v>327</v>
      </c>
      <c r="N156" s="5">
        <f>DATE(2013,2,27)</f>
        <v>41332</v>
      </c>
      <c r="O156" s="5">
        <f>DATE(2017,12,22)</f>
        <v>43091</v>
      </c>
      <c r="P156" s="5">
        <f t="shared" si="40"/>
        <v>44186</v>
      </c>
      <c r="Q156" s="1">
        <v>4770</v>
      </c>
      <c r="R156" s="1">
        <v>3600</v>
      </c>
      <c r="S156" s="1">
        <f t="shared" si="41"/>
        <v>3600</v>
      </c>
      <c r="T156" s="1">
        <v>2.5</v>
      </c>
      <c r="U156" s="1" t="str">
        <f t="shared" si="42"/>
        <v>NÃO</v>
      </c>
      <c r="V156" s="1">
        <f t="shared" si="43"/>
        <v>1760</v>
      </c>
      <c r="W156" s="4">
        <f t="shared" si="44"/>
        <v>2.0454545454545454</v>
      </c>
      <c r="X156" s="4">
        <f t="shared" si="45"/>
        <v>746.59090909090912</v>
      </c>
      <c r="Y156" s="4">
        <f t="shared" si="46"/>
        <v>0.93323863636363635</v>
      </c>
      <c r="AB156" s="5">
        <f t="shared" si="47"/>
        <v>45292</v>
      </c>
      <c r="AC156" s="5">
        <f t="shared" si="48"/>
        <v>45657</v>
      </c>
      <c r="AE156" s="1">
        <f t="shared" si="49"/>
        <v>0</v>
      </c>
      <c r="AF156" s="1">
        <f t="shared" si="50"/>
        <v>0</v>
      </c>
      <c r="AG156" s="1">
        <f t="shared" si="51"/>
        <v>0</v>
      </c>
      <c r="AH156" s="1">
        <f t="shared" si="52"/>
        <v>0</v>
      </c>
      <c r="AI156" s="1">
        <f t="shared" si="53"/>
        <v>183</v>
      </c>
      <c r="AJ156" s="3">
        <f t="shared" si="54"/>
        <v>0.5</v>
      </c>
      <c r="AK156" s="3">
        <f t="shared" si="55"/>
        <v>0.46661931818181818</v>
      </c>
      <c r="AL156" s="3">
        <f t="shared" si="56"/>
        <v>0</v>
      </c>
      <c r="AM156" s="3">
        <f t="shared" si="57"/>
        <v>0</v>
      </c>
      <c r="AN156" s="3">
        <f t="shared" si="58"/>
        <v>0</v>
      </c>
      <c r="AO156" s="3">
        <f t="shared" si="59"/>
        <v>0</v>
      </c>
      <c r="AP156" s="1" t="str">
        <f>INDEX({"EAD";"EAD";"EAD";"EAD MOOC";"EAD";"EAD";"EAD FP";"EAD";"PRESENCIAL";"PRESENCIAL";"PRESENCIAL";"PRESENCIAL"}, MATCH(CONCATENATE(E156, ".", F156),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57" spans="1:42" x14ac:dyDescent="0.25">
      <c r="A157" s="1" t="s">
        <v>27</v>
      </c>
      <c r="B157" s="1" t="s">
        <v>37</v>
      </c>
      <c r="C157" s="1" t="s">
        <v>29</v>
      </c>
      <c r="D157" s="1" t="s">
        <v>38</v>
      </c>
      <c r="E157" s="1" t="s">
        <v>120</v>
      </c>
      <c r="F157" s="1" t="s">
        <v>21</v>
      </c>
      <c r="G157" s="1" t="s">
        <v>278</v>
      </c>
      <c r="H157" s="1" t="s">
        <v>320</v>
      </c>
      <c r="I157" s="1" t="s">
        <v>172</v>
      </c>
      <c r="J157" s="1" t="s">
        <v>125</v>
      </c>
      <c r="K157" s="1" t="s">
        <v>109</v>
      </c>
      <c r="L157" s="1">
        <v>1602108</v>
      </c>
      <c r="M157" s="1" t="s">
        <v>328</v>
      </c>
      <c r="N157" s="5">
        <f>DATE(2013,2,27)</f>
        <v>41332</v>
      </c>
      <c r="O157" s="5">
        <f>DATE(2016,12,23)</f>
        <v>42727</v>
      </c>
      <c r="P157" s="5">
        <f t="shared" si="40"/>
        <v>43822</v>
      </c>
      <c r="Q157" s="1">
        <v>3456</v>
      </c>
      <c r="R157" s="1">
        <v>3200</v>
      </c>
      <c r="S157" s="1">
        <f t="shared" si="41"/>
        <v>3200</v>
      </c>
      <c r="T157" s="1">
        <v>2.5</v>
      </c>
      <c r="U157" s="1" t="str">
        <f t="shared" si="42"/>
        <v>NÃO</v>
      </c>
      <c r="V157" s="1">
        <f t="shared" si="43"/>
        <v>1396</v>
      </c>
      <c r="W157" s="4">
        <f t="shared" si="44"/>
        <v>2.2922636103151861</v>
      </c>
      <c r="X157" s="4">
        <f t="shared" si="45"/>
        <v>836.67621776504291</v>
      </c>
      <c r="Y157" s="4">
        <f t="shared" si="46"/>
        <v>1.0458452722063036</v>
      </c>
      <c r="AB157" s="5">
        <f t="shared" si="47"/>
        <v>45292</v>
      </c>
      <c r="AC157" s="5">
        <f t="shared" si="48"/>
        <v>45657</v>
      </c>
      <c r="AD157" s="1">
        <v>2</v>
      </c>
      <c r="AE157" s="1">
        <f t="shared" si="49"/>
        <v>0</v>
      </c>
      <c r="AF157" s="1">
        <f t="shared" si="50"/>
        <v>0</v>
      </c>
      <c r="AG157" s="1">
        <f t="shared" si="51"/>
        <v>0</v>
      </c>
      <c r="AH157" s="1">
        <f t="shared" si="52"/>
        <v>0</v>
      </c>
      <c r="AI157" s="1">
        <f t="shared" si="53"/>
        <v>183</v>
      </c>
      <c r="AJ157" s="3">
        <f t="shared" si="54"/>
        <v>0.5</v>
      </c>
      <c r="AK157" s="3">
        <f t="shared" si="55"/>
        <v>0.52292263610315182</v>
      </c>
      <c r="AL157" s="3">
        <f t="shared" si="56"/>
        <v>0</v>
      </c>
      <c r="AM157" s="3">
        <f t="shared" si="57"/>
        <v>0</v>
      </c>
      <c r="AN157" s="3">
        <f t="shared" si="58"/>
        <v>0</v>
      </c>
      <c r="AO157" s="3">
        <f t="shared" si="59"/>
        <v>0</v>
      </c>
      <c r="AP157" s="1" t="str">
        <f>INDEX({"EAD";"EAD";"EAD";"EAD MOOC";"EAD";"EAD";"EAD FP";"EAD";"PRESENCIAL";"PRESENCIAL";"PRESENCIAL";"PRESENCIAL"}, MATCH(CONCATENATE(E157, ".", F157),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58" spans="1:42" x14ac:dyDescent="0.25">
      <c r="A158" s="1" t="s">
        <v>27</v>
      </c>
      <c r="B158" s="1" t="s">
        <v>37</v>
      </c>
      <c r="C158" s="1" t="s">
        <v>29</v>
      </c>
      <c r="D158" s="1" t="s">
        <v>38</v>
      </c>
      <c r="E158" s="1" t="s">
        <v>120</v>
      </c>
      <c r="F158" s="1" t="s">
        <v>21</v>
      </c>
      <c r="G158" s="1" t="s">
        <v>128</v>
      </c>
      <c r="H158" s="1" t="s">
        <v>132</v>
      </c>
      <c r="I158" s="1" t="s">
        <v>107</v>
      </c>
      <c r="J158" s="1" t="s">
        <v>108</v>
      </c>
      <c r="K158" s="1" t="s">
        <v>163</v>
      </c>
      <c r="L158" s="1">
        <v>1949938</v>
      </c>
      <c r="M158" s="1" t="s">
        <v>329</v>
      </c>
      <c r="N158" s="5">
        <f>DATE(2013,9,18)</f>
        <v>41535</v>
      </c>
      <c r="O158" s="5">
        <f>DATE(2014,12,9)</f>
        <v>41982</v>
      </c>
      <c r="P158" s="5">
        <f t="shared" si="40"/>
        <v>43077</v>
      </c>
      <c r="Q158" s="1">
        <v>1200</v>
      </c>
      <c r="R158" s="1">
        <v>1200</v>
      </c>
      <c r="S158" s="1">
        <f t="shared" si="41"/>
        <v>1200</v>
      </c>
      <c r="T158" s="1">
        <v>2.5</v>
      </c>
      <c r="U158" s="1" t="str">
        <f t="shared" si="42"/>
        <v>NÃO</v>
      </c>
      <c r="V158" s="1">
        <f t="shared" si="43"/>
        <v>448</v>
      </c>
      <c r="W158" s="4">
        <f t="shared" si="44"/>
        <v>2.6785714285714284</v>
      </c>
      <c r="X158" s="4">
        <f t="shared" si="45"/>
        <v>977.67857142857133</v>
      </c>
      <c r="Y158" s="4">
        <f t="shared" si="46"/>
        <v>1.2220982142857142</v>
      </c>
      <c r="AB158" s="5">
        <f t="shared" si="47"/>
        <v>45292</v>
      </c>
      <c r="AC158" s="5">
        <f t="shared" si="48"/>
        <v>45657</v>
      </c>
      <c r="AD158" s="1">
        <v>5</v>
      </c>
      <c r="AE158" s="1">
        <f t="shared" si="49"/>
        <v>0</v>
      </c>
      <c r="AF158" s="1">
        <f t="shared" si="50"/>
        <v>0</v>
      </c>
      <c r="AG158" s="1">
        <f t="shared" si="51"/>
        <v>0</v>
      </c>
      <c r="AH158" s="1">
        <f t="shared" si="52"/>
        <v>0</v>
      </c>
      <c r="AI158" s="1">
        <f t="shared" si="53"/>
        <v>183</v>
      </c>
      <c r="AJ158" s="3">
        <f t="shared" si="54"/>
        <v>0.5</v>
      </c>
      <c r="AK158" s="3">
        <f t="shared" si="55"/>
        <v>0.6110491071428571</v>
      </c>
      <c r="AL158" s="3">
        <f t="shared" si="56"/>
        <v>0</v>
      </c>
      <c r="AM158" s="3">
        <f t="shared" si="57"/>
        <v>0</v>
      </c>
      <c r="AN158" s="3">
        <f t="shared" si="58"/>
        <v>0</v>
      </c>
      <c r="AO158" s="3">
        <f t="shared" si="59"/>
        <v>0</v>
      </c>
      <c r="AP158" s="1" t="str">
        <f>INDEX({"EAD";"EAD";"EAD";"EAD MOOC";"EAD";"EAD";"EAD FP";"EAD";"PRESENCIAL";"PRESENCIAL";"PRESENCIAL";"PRESENCIAL"}, MATCH(CONCATENATE(E158, ".", F158),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59" spans="1:42" x14ac:dyDescent="0.25">
      <c r="A159" s="1" t="s">
        <v>27</v>
      </c>
      <c r="B159" s="1" t="s">
        <v>37</v>
      </c>
      <c r="C159" s="1" t="s">
        <v>29</v>
      </c>
      <c r="D159" s="1" t="s">
        <v>38</v>
      </c>
      <c r="E159" s="1" t="s">
        <v>120</v>
      </c>
      <c r="F159" s="1" t="s">
        <v>21</v>
      </c>
      <c r="G159" s="1" t="s">
        <v>121</v>
      </c>
      <c r="H159" s="1" t="s">
        <v>322</v>
      </c>
      <c r="I159" s="1" t="s">
        <v>107</v>
      </c>
      <c r="J159" s="1" t="s">
        <v>108</v>
      </c>
      <c r="K159" s="1" t="s">
        <v>109</v>
      </c>
      <c r="L159" s="1">
        <v>1941094</v>
      </c>
      <c r="M159" s="1" t="s">
        <v>330</v>
      </c>
      <c r="N159" s="5">
        <f>DATE(2014,2,5)</f>
        <v>41675</v>
      </c>
      <c r="O159" s="5">
        <f>DATE(2018,12,20)</f>
        <v>43454</v>
      </c>
      <c r="P159" s="5">
        <f t="shared" si="40"/>
        <v>44549</v>
      </c>
      <c r="Q159" s="1">
        <v>4735</v>
      </c>
      <c r="R159" s="1">
        <v>3600</v>
      </c>
      <c r="S159" s="1">
        <f t="shared" si="41"/>
        <v>3600</v>
      </c>
      <c r="T159" s="1">
        <v>2.5</v>
      </c>
      <c r="U159" s="1" t="str">
        <f t="shared" si="42"/>
        <v>NÃO</v>
      </c>
      <c r="V159" s="1">
        <f t="shared" si="43"/>
        <v>1780</v>
      </c>
      <c r="W159" s="4">
        <f t="shared" si="44"/>
        <v>2.0224719101123596</v>
      </c>
      <c r="X159" s="4">
        <f t="shared" si="45"/>
        <v>738.20224719101122</v>
      </c>
      <c r="Y159" s="4">
        <f t="shared" si="46"/>
        <v>0.922752808988764</v>
      </c>
      <c r="AB159" s="5">
        <f t="shared" si="47"/>
        <v>45292</v>
      </c>
      <c r="AC159" s="5">
        <f t="shared" si="48"/>
        <v>45657</v>
      </c>
      <c r="AE159" s="1">
        <f t="shared" si="49"/>
        <v>0</v>
      </c>
      <c r="AF159" s="1">
        <f t="shared" si="50"/>
        <v>0</v>
      </c>
      <c r="AG159" s="1">
        <f t="shared" si="51"/>
        <v>0</v>
      </c>
      <c r="AH159" s="1">
        <f t="shared" si="52"/>
        <v>0</v>
      </c>
      <c r="AI159" s="1">
        <f t="shared" si="53"/>
        <v>183</v>
      </c>
      <c r="AJ159" s="3">
        <f t="shared" si="54"/>
        <v>0.5</v>
      </c>
      <c r="AK159" s="3">
        <f t="shared" si="55"/>
        <v>0.461376404494382</v>
      </c>
      <c r="AL159" s="3">
        <f t="shared" si="56"/>
        <v>0</v>
      </c>
      <c r="AM159" s="3">
        <f t="shared" si="57"/>
        <v>0</v>
      </c>
      <c r="AN159" s="3">
        <f t="shared" si="58"/>
        <v>0</v>
      </c>
      <c r="AO159" s="3">
        <f t="shared" si="59"/>
        <v>0</v>
      </c>
      <c r="AP159" s="1" t="str">
        <f>INDEX({"EAD";"EAD";"EAD";"EAD MOOC";"EAD";"EAD";"EAD FP";"EAD";"PRESENCIAL";"PRESENCIAL";"PRESENCIAL";"PRESENCIAL"}, MATCH(CONCATENATE(E159, ".", F159),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60" spans="1:42" x14ac:dyDescent="0.25">
      <c r="A160" s="1" t="s">
        <v>27</v>
      </c>
      <c r="B160" s="1" t="s">
        <v>37</v>
      </c>
      <c r="C160" s="1" t="s">
        <v>29</v>
      </c>
      <c r="D160" s="1" t="s">
        <v>38</v>
      </c>
      <c r="E160" s="1" t="s">
        <v>120</v>
      </c>
      <c r="F160" s="1" t="s">
        <v>21</v>
      </c>
      <c r="G160" s="1" t="s">
        <v>278</v>
      </c>
      <c r="H160" s="1" t="s">
        <v>320</v>
      </c>
      <c r="I160" s="1" t="s">
        <v>172</v>
      </c>
      <c r="J160" s="1" t="s">
        <v>125</v>
      </c>
      <c r="K160" s="1" t="s">
        <v>109</v>
      </c>
      <c r="L160" s="1">
        <v>1949828</v>
      </c>
      <c r="M160" s="1" t="s">
        <v>331</v>
      </c>
      <c r="N160" s="5">
        <f>DATE(2014,2,5)</f>
        <v>41675</v>
      </c>
      <c r="O160" s="5">
        <f>DATE(2017,12,22)</f>
        <v>43091</v>
      </c>
      <c r="P160" s="5">
        <f t="shared" si="40"/>
        <v>44186</v>
      </c>
      <c r="Q160" s="1">
        <v>3456</v>
      </c>
      <c r="R160" s="1">
        <v>3200</v>
      </c>
      <c r="S160" s="1">
        <f t="shared" si="41"/>
        <v>3200</v>
      </c>
      <c r="T160" s="1">
        <v>2.5</v>
      </c>
      <c r="U160" s="1" t="str">
        <f t="shared" si="42"/>
        <v>NÃO</v>
      </c>
      <c r="V160" s="1">
        <f t="shared" si="43"/>
        <v>1417</v>
      </c>
      <c r="W160" s="4">
        <f t="shared" si="44"/>
        <v>2.2582921665490474</v>
      </c>
      <c r="X160" s="4">
        <f t="shared" si="45"/>
        <v>824.27664079040233</v>
      </c>
      <c r="Y160" s="4">
        <f t="shared" si="46"/>
        <v>1.0303458009880029</v>
      </c>
      <c r="AB160" s="5">
        <f t="shared" si="47"/>
        <v>45292</v>
      </c>
      <c r="AC160" s="5">
        <f t="shared" si="48"/>
        <v>45657</v>
      </c>
      <c r="AD160" s="1">
        <v>2</v>
      </c>
      <c r="AE160" s="1">
        <f t="shared" si="49"/>
        <v>0</v>
      </c>
      <c r="AF160" s="1">
        <f t="shared" si="50"/>
        <v>0</v>
      </c>
      <c r="AG160" s="1">
        <f t="shared" si="51"/>
        <v>0</v>
      </c>
      <c r="AH160" s="1">
        <f t="shared" si="52"/>
        <v>0</v>
      </c>
      <c r="AI160" s="1">
        <f t="shared" si="53"/>
        <v>183</v>
      </c>
      <c r="AJ160" s="3">
        <f t="shared" si="54"/>
        <v>0.5</v>
      </c>
      <c r="AK160" s="3">
        <f t="shared" si="55"/>
        <v>0.51517290049400144</v>
      </c>
      <c r="AL160" s="3">
        <f t="shared" si="56"/>
        <v>0</v>
      </c>
      <c r="AM160" s="3">
        <f t="shared" si="57"/>
        <v>0</v>
      </c>
      <c r="AN160" s="3">
        <f t="shared" si="58"/>
        <v>0</v>
      </c>
      <c r="AO160" s="3">
        <f t="shared" si="59"/>
        <v>0</v>
      </c>
      <c r="AP160" s="1" t="str">
        <f>INDEX({"EAD";"EAD";"EAD";"EAD MOOC";"EAD";"EAD";"EAD FP";"EAD";"PRESENCIAL";"PRESENCIAL";"PRESENCIAL";"PRESENCIAL"}, MATCH(CONCATENATE(E160, ".", F160),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61" spans="1:42" x14ac:dyDescent="0.25">
      <c r="A161" s="1" t="s">
        <v>27</v>
      </c>
      <c r="B161" s="1" t="s">
        <v>37</v>
      </c>
      <c r="C161" s="1" t="s">
        <v>29</v>
      </c>
      <c r="D161" s="1" t="s">
        <v>38</v>
      </c>
      <c r="E161" s="1" t="s">
        <v>120</v>
      </c>
      <c r="F161" s="1" t="s">
        <v>21</v>
      </c>
      <c r="G161" s="1" t="s">
        <v>140</v>
      </c>
      <c r="H161" s="1" t="s">
        <v>332</v>
      </c>
      <c r="I161" s="1" t="s">
        <v>124</v>
      </c>
      <c r="J161" s="1" t="s">
        <v>125</v>
      </c>
      <c r="K161" s="1" t="s">
        <v>109</v>
      </c>
      <c r="L161" s="1">
        <v>1961609</v>
      </c>
      <c r="M161" s="1" t="s">
        <v>333</v>
      </c>
      <c r="N161" s="5">
        <f>DATE(2014,8,15)</f>
        <v>41866</v>
      </c>
      <c r="O161" s="5">
        <f>DATE(2016,12,30)</f>
        <v>42734</v>
      </c>
      <c r="P161" s="5">
        <f t="shared" si="40"/>
        <v>43829</v>
      </c>
      <c r="Q161" s="1">
        <v>1802</v>
      </c>
      <c r="R161" s="1">
        <v>1600</v>
      </c>
      <c r="S161" s="1">
        <f t="shared" si="41"/>
        <v>1600</v>
      </c>
      <c r="T161" s="1">
        <v>1</v>
      </c>
      <c r="U161" s="1" t="str">
        <f t="shared" si="42"/>
        <v>NÃO</v>
      </c>
      <c r="V161" s="1">
        <f t="shared" si="43"/>
        <v>869</v>
      </c>
      <c r="W161" s="4">
        <f t="shared" si="44"/>
        <v>1.8411967779056386</v>
      </c>
      <c r="X161" s="4">
        <f t="shared" si="45"/>
        <v>672.03682393555812</v>
      </c>
      <c r="Y161" s="4">
        <f t="shared" si="46"/>
        <v>0.84004602991944766</v>
      </c>
      <c r="AB161" s="5">
        <f t="shared" si="47"/>
        <v>45292</v>
      </c>
      <c r="AC161" s="5">
        <f t="shared" si="48"/>
        <v>45657</v>
      </c>
      <c r="AE161" s="1">
        <f t="shared" si="49"/>
        <v>0</v>
      </c>
      <c r="AF161" s="1">
        <f t="shared" si="50"/>
        <v>0</v>
      </c>
      <c r="AG161" s="1">
        <f t="shared" si="51"/>
        <v>0</v>
      </c>
      <c r="AH161" s="1">
        <f t="shared" si="52"/>
        <v>0</v>
      </c>
      <c r="AI161" s="1">
        <f t="shared" si="53"/>
        <v>183</v>
      </c>
      <c r="AJ161" s="3">
        <f t="shared" si="54"/>
        <v>0.5</v>
      </c>
      <c r="AK161" s="3">
        <f t="shared" si="55"/>
        <v>0.42002301495972383</v>
      </c>
      <c r="AL161" s="3">
        <f t="shared" si="56"/>
        <v>0</v>
      </c>
      <c r="AM161" s="3">
        <f t="shared" si="57"/>
        <v>0</v>
      </c>
      <c r="AN161" s="3">
        <f t="shared" si="58"/>
        <v>0</v>
      </c>
      <c r="AO161" s="3">
        <f t="shared" si="59"/>
        <v>0</v>
      </c>
      <c r="AP161" s="1" t="str">
        <f>INDEX({"EAD";"EAD";"EAD";"EAD MOOC";"EAD";"EAD";"EAD FP";"EAD";"PRESENCIAL";"PRESENCIAL";"PRESENCIAL";"PRESENCIAL"}, MATCH(CONCATENATE(E161, ".", F161),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62" spans="1:42" x14ac:dyDescent="0.25">
      <c r="A162" s="1" t="s">
        <v>27</v>
      </c>
      <c r="B162" s="1" t="s">
        <v>37</v>
      </c>
      <c r="C162" s="1" t="s">
        <v>29</v>
      </c>
      <c r="D162" s="1" t="s">
        <v>38</v>
      </c>
      <c r="E162" s="1" t="s">
        <v>120</v>
      </c>
      <c r="F162" s="1" t="s">
        <v>21</v>
      </c>
      <c r="G162" s="1" t="s">
        <v>121</v>
      </c>
      <c r="H162" s="1" t="s">
        <v>322</v>
      </c>
      <c r="I162" s="1" t="s">
        <v>107</v>
      </c>
      <c r="J162" s="1" t="s">
        <v>108</v>
      </c>
      <c r="K162" s="1" t="s">
        <v>109</v>
      </c>
      <c r="L162" s="1">
        <v>1956689</v>
      </c>
      <c r="M162" s="1" t="s">
        <v>334</v>
      </c>
      <c r="N162" s="5">
        <f>DATE(2014,9,1)</f>
        <v>41883</v>
      </c>
      <c r="O162" s="5">
        <f>DATE(2019,9,1)</f>
        <v>43709</v>
      </c>
      <c r="P162" s="5">
        <f t="shared" si="40"/>
        <v>44804</v>
      </c>
      <c r="Q162" s="1">
        <v>4735</v>
      </c>
      <c r="R162" s="1">
        <v>3600</v>
      </c>
      <c r="S162" s="1">
        <f t="shared" si="41"/>
        <v>3600</v>
      </c>
      <c r="T162" s="1">
        <v>2.5</v>
      </c>
      <c r="U162" s="1" t="str">
        <f t="shared" si="42"/>
        <v>NÃO</v>
      </c>
      <c r="V162" s="1">
        <f t="shared" si="43"/>
        <v>1827</v>
      </c>
      <c r="W162" s="4">
        <f t="shared" si="44"/>
        <v>1.9704433497536946</v>
      </c>
      <c r="X162" s="4">
        <f t="shared" si="45"/>
        <v>719.21182266009851</v>
      </c>
      <c r="Y162" s="4">
        <f t="shared" si="46"/>
        <v>0.89901477832512311</v>
      </c>
      <c r="AB162" s="5">
        <f t="shared" si="47"/>
        <v>45292</v>
      </c>
      <c r="AC162" s="5">
        <f t="shared" si="48"/>
        <v>45657</v>
      </c>
      <c r="AE162" s="1">
        <f t="shared" si="49"/>
        <v>0</v>
      </c>
      <c r="AF162" s="1">
        <f t="shared" si="50"/>
        <v>0</v>
      </c>
      <c r="AG162" s="1">
        <f t="shared" si="51"/>
        <v>0</v>
      </c>
      <c r="AH162" s="1">
        <f t="shared" si="52"/>
        <v>0</v>
      </c>
      <c r="AI162" s="1">
        <f t="shared" si="53"/>
        <v>183</v>
      </c>
      <c r="AJ162" s="3">
        <f t="shared" si="54"/>
        <v>0.5</v>
      </c>
      <c r="AK162" s="3">
        <f t="shared" si="55"/>
        <v>0.44950738916256155</v>
      </c>
      <c r="AL162" s="3">
        <f t="shared" si="56"/>
        <v>0</v>
      </c>
      <c r="AM162" s="3">
        <f t="shared" si="57"/>
        <v>0</v>
      </c>
      <c r="AN162" s="3">
        <f t="shared" si="58"/>
        <v>0</v>
      </c>
      <c r="AO162" s="3">
        <f t="shared" si="59"/>
        <v>0</v>
      </c>
      <c r="AP162" s="1" t="str">
        <f>INDEX({"EAD";"EAD";"EAD";"EAD MOOC";"EAD";"EAD";"EAD FP";"EAD";"PRESENCIAL";"PRESENCIAL";"PRESENCIAL";"PRESENCIAL"}, MATCH(CONCATENATE(E162, ".", F162),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63" spans="1:42" x14ac:dyDescent="0.25">
      <c r="A163" s="1" t="s">
        <v>27</v>
      </c>
      <c r="B163" s="1" t="s">
        <v>37</v>
      </c>
      <c r="C163" s="1" t="s">
        <v>29</v>
      </c>
      <c r="D163" s="1" t="s">
        <v>38</v>
      </c>
      <c r="E163" s="1" t="s">
        <v>120</v>
      </c>
      <c r="F163" s="1" t="s">
        <v>21</v>
      </c>
      <c r="G163" s="1" t="s">
        <v>121</v>
      </c>
      <c r="H163" s="1" t="s">
        <v>322</v>
      </c>
      <c r="I163" s="1" t="s">
        <v>107</v>
      </c>
      <c r="J163" s="1" t="s">
        <v>108</v>
      </c>
      <c r="K163" s="1" t="s">
        <v>109</v>
      </c>
      <c r="L163" s="1">
        <v>1978481</v>
      </c>
      <c r="M163" s="1" t="s">
        <v>335</v>
      </c>
      <c r="N163" s="5">
        <f>DATE(2015,2,20)</f>
        <v>42055</v>
      </c>
      <c r="O163" s="5">
        <f>DATE(2019,12,20)</f>
        <v>43819</v>
      </c>
      <c r="P163" s="5">
        <f t="shared" si="40"/>
        <v>44914</v>
      </c>
      <c r="Q163" s="1">
        <v>4535</v>
      </c>
      <c r="R163" s="1">
        <v>3600</v>
      </c>
      <c r="S163" s="1">
        <f t="shared" si="41"/>
        <v>3600</v>
      </c>
      <c r="T163" s="1">
        <v>2.5</v>
      </c>
      <c r="U163" s="1" t="str">
        <f t="shared" si="42"/>
        <v>NÃO</v>
      </c>
      <c r="V163" s="1">
        <f t="shared" si="43"/>
        <v>1765</v>
      </c>
      <c r="W163" s="4">
        <f t="shared" si="44"/>
        <v>2.0396600566572238</v>
      </c>
      <c r="X163" s="4">
        <f t="shared" si="45"/>
        <v>744.47592067988671</v>
      </c>
      <c r="Y163" s="4">
        <f t="shared" si="46"/>
        <v>0.93059490084985841</v>
      </c>
      <c r="AB163" s="5">
        <f t="shared" si="47"/>
        <v>45292</v>
      </c>
      <c r="AC163" s="5">
        <f t="shared" si="48"/>
        <v>45657</v>
      </c>
      <c r="AE163" s="1">
        <f t="shared" si="49"/>
        <v>0</v>
      </c>
      <c r="AF163" s="1">
        <f t="shared" si="50"/>
        <v>0</v>
      </c>
      <c r="AG163" s="1">
        <f t="shared" si="51"/>
        <v>0</v>
      </c>
      <c r="AH163" s="1">
        <f t="shared" si="52"/>
        <v>0</v>
      </c>
      <c r="AI163" s="1">
        <f t="shared" si="53"/>
        <v>183</v>
      </c>
      <c r="AJ163" s="3">
        <f t="shared" si="54"/>
        <v>0.5</v>
      </c>
      <c r="AK163" s="3">
        <f t="shared" si="55"/>
        <v>0.4652974504249292</v>
      </c>
      <c r="AL163" s="3">
        <f t="shared" si="56"/>
        <v>0</v>
      </c>
      <c r="AM163" s="3">
        <f t="shared" si="57"/>
        <v>0</v>
      </c>
      <c r="AN163" s="3">
        <f t="shared" si="58"/>
        <v>0</v>
      </c>
      <c r="AO163" s="3">
        <f t="shared" si="59"/>
        <v>0</v>
      </c>
      <c r="AP163" s="1" t="str">
        <f>INDEX({"EAD";"EAD";"EAD";"EAD MOOC";"EAD";"EAD";"EAD FP";"EAD";"PRESENCIAL";"PRESENCIAL";"PRESENCIAL";"PRESENCIAL"}, MATCH(CONCATENATE(E163, ".", F163),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64" spans="1:42" x14ac:dyDescent="0.25">
      <c r="A164" s="1" t="s">
        <v>27</v>
      </c>
      <c r="B164" s="1" t="s">
        <v>37</v>
      </c>
      <c r="C164" s="1" t="s">
        <v>29</v>
      </c>
      <c r="D164" s="1" t="s">
        <v>38</v>
      </c>
      <c r="E164" s="1" t="s">
        <v>120</v>
      </c>
      <c r="F164" s="1" t="s">
        <v>21</v>
      </c>
      <c r="G164" s="1" t="s">
        <v>278</v>
      </c>
      <c r="H164" s="1" t="s">
        <v>320</v>
      </c>
      <c r="I164" s="1" t="s">
        <v>172</v>
      </c>
      <c r="J164" s="1" t="s">
        <v>125</v>
      </c>
      <c r="K164" s="1" t="s">
        <v>109</v>
      </c>
      <c r="L164" s="1">
        <v>1978491</v>
      </c>
      <c r="M164" s="1" t="s">
        <v>336</v>
      </c>
      <c r="N164" s="5">
        <f>DATE(2015,2,20)</f>
        <v>42055</v>
      </c>
      <c r="O164" s="5">
        <f>DATE(2018,12,20)</f>
        <v>43454</v>
      </c>
      <c r="P164" s="5">
        <f t="shared" si="40"/>
        <v>44549</v>
      </c>
      <c r="Q164" s="1">
        <v>3456</v>
      </c>
      <c r="R164" s="1">
        <v>3200</v>
      </c>
      <c r="S164" s="1">
        <f t="shared" si="41"/>
        <v>3200</v>
      </c>
      <c r="T164" s="1">
        <v>2.5</v>
      </c>
      <c r="U164" s="1" t="str">
        <f t="shared" si="42"/>
        <v>NÃO</v>
      </c>
      <c r="V164" s="1">
        <f t="shared" si="43"/>
        <v>1400</v>
      </c>
      <c r="W164" s="4">
        <f t="shared" si="44"/>
        <v>2.2857142857142856</v>
      </c>
      <c r="X164" s="4">
        <f t="shared" si="45"/>
        <v>834.28571428571422</v>
      </c>
      <c r="Y164" s="4">
        <f t="shared" si="46"/>
        <v>1.0428571428571427</v>
      </c>
      <c r="AB164" s="5">
        <f t="shared" si="47"/>
        <v>45292</v>
      </c>
      <c r="AC164" s="5">
        <f t="shared" si="48"/>
        <v>45657</v>
      </c>
      <c r="AE164" s="1">
        <f t="shared" si="49"/>
        <v>0</v>
      </c>
      <c r="AF164" s="1">
        <f t="shared" si="50"/>
        <v>0</v>
      </c>
      <c r="AG164" s="1">
        <f t="shared" si="51"/>
        <v>0</v>
      </c>
      <c r="AH164" s="1">
        <f t="shared" si="52"/>
        <v>0</v>
      </c>
      <c r="AI164" s="1">
        <f t="shared" si="53"/>
        <v>183</v>
      </c>
      <c r="AJ164" s="3">
        <f t="shared" si="54"/>
        <v>0.5</v>
      </c>
      <c r="AK164" s="3">
        <f t="shared" si="55"/>
        <v>0.52142857142857135</v>
      </c>
      <c r="AL164" s="3">
        <f t="shared" si="56"/>
        <v>0</v>
      </c>
      <c r="AM164" s="3">
        <f t="shared" si="57"/>
        <v>0</v>
      </c>
      <c r="AN164" s="3">
        <f t="shared" si="58"/>
        <v>0</v>
      </c>
      <c r="AO164" s="3">
        <f t="shared" si="59"/>
        <v>0</v>
      </c>
      <c r="AP164" s="1" t="str">
        <f>INDEX({"EAD";"EAD";"EAD";"EAD MOOC";"EAD";"EAD";"EAD FP";"EAD";"PRESENCIAL";"PRESENCIAL";"PRESENCIAL";"PRESENCIAL"}, MATCH(CONCATENATE(E164, ".", F164),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65" spans="1:42" x14ac:dyDescent="0.25">
      <c r="A165" s="1" t="s">
        <v>27</v>
      </c>
      <c r="B165" s="1" t="s">
        <v>37</v>
      </c>
      <c r="C165" s="1" t="s">
        <v>29</v>
      </c>
      <c r="D165" s="1" t="s">
        <v>38</v>
      </c>
      <c r="E165" s="1" t="s">
        <v>120</v>
      </c>
      <c r="F165" s="1" t="s">
        <v>21</v>
      </c>
      <c r="G165" s="1" t="s">
        <v>140</v>
      </c>
      <c r="H165" s="1" t="s">
        <v>325</v>
      </c>
      <c r="I165" s="1" t="s">
        <v>228</v>
      </c>
      <c r="J165" s="1" t="s">
        <v>108</v>
      </c>
      <c r="K165" s="1" t="s">
        <v>109</v>
      </c>
      <c r="L165" s="1">
        <v>1978494</v>
      </c>
      <c r="M165" s="1" t="s">
        <v>337</v>
      </c>
      <c r="N165" s="5">
        <f>DATE(2015,2,20)</f>
        <v>42055</v>
      </c>
      <c r="O165" s="5">
        <f>DATE(2017,12,21)</f>
        <v>43090</v>
      </c>
      <c r="P165" s="5">
        <f t="shared" si="40"/>
        <v>44185</v>
      </c>
      <c r="Q165" s="1">
        <v>2628</v>
      </c>
      <c r="R165" s="1">
        <v>2400</v>
      </c>
      <c r="S165" s="1">
        <f t="shared" si="41"/>
        <v>2400</v>
      </c>
      <c r="T165" s="1">
        <v>2.5</v>
      </c>
      <c r="U165" s="1" t="str">
        <f t="shared" si="42"/>
        <v>NÃO</v>
      </c>
      <c r="V165" s="1">
        <f t="shared" si="43"/>
        <v>1036</v>
      </c>
      <c r="W165" s="4">
        <f t="shared" si="44"/>
        <v>2.3166023166023164</v>
      </c>
      <c r="X165" s="4">
        <f t="shared" si="45"/>
        <v>845.55984555984548</v>
      </c>
      <c r="Y165" s="4">
        <f t="shared" si="46"/>
        <v>1.0569498069498069</v>
      </c>
      <c r="AB165" s="5">
        <f t="shared" si="47"/>
        <v>45292</v>
      </c>
      <c r="AC165" s="5">
        <f t="shared" si="48"/>
        <v>45657</v>
      </c>
      <c r="AE165" s="1">
        <f t="shared" si="49"/>
        <v>0</v>
      </c>
      <c r="AF165" s="1">
        <f t="shared" si="50"/>
        <v>0</v>
      </c>
      <c r="AG165" s="1">
        <f t="shared" si="51"/>
        <v>0</v>
      </c>
      <c r="AH165" s="1">
        <f t="shared" si="52"/>
        <v>0</v>
      </c>
      <c r="AI165" s="1">
        <f t="shared" si="53"/>
        <v>183</v>
      </c>
      <c r="AJ165" s="3">
        <f t="shared" si="54"/>
        <v>0.5</v>
      </c>
      <c r="AK165" s="3">
        <f t="shared" si="55"/>
        <v>0.52847490347490345</v>
      </c>
      <c r="AL165" s="3">
        <f t="shared" si="56"/>
        <v>0</v>
      </c>
      <c r="AM165" s="3">
        <f t="shared" si="57"/>
        <v>0</v>
      </c>
      <c r="AN165" s="3">
        <f t="shared" si="58"/>
        <v>0</v>
      </c>
      <c r="AO165" s="3">
        <f t="shared" si="59"/>
        <v>0</v>
      </c>
      <c r="AP165" s="1" t="str">
        <f>INDEX({"EAD";"EAD";"EAD";"EAD MOOC";"EAD";"EAD";"EAD FP";"EAD";"PRESENCIAL";"PRESENCIAL";"PRESENCIAL";"PRESENCIAL"}, MATCH(CONCATENATE(E165, ".", F165),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66" spans="1:42" x14ac:dyDescent="0.25">
      <c r="A166" s="1" t="s">
        <v>27</v>
      </c>
      <c r="B166" s="1" t="s">
        <v>37</v>
      </c>
      <c r="C166" s="1" t="s">
        <v>29</v>
      </c>
      <c r="D166" s="1" t="s">
        <v>38</v>
      </c>
      <c r="E166" s="1" t="s">
        <v>120</v>
      </c>
      <c r="F166" s="1" t="s">
        <v>21</v>
      </c>
      <c r="G166" s="1" t="s">
        <v>121</v>
      </c>
      <c r="H166" s="1" t="s">
        <v>322</v>
      </c>
      <c r="I166" s="1" t="s">
        <v>107</v>
      </c>
      <c r="J166" s="1" t="s">
        <v>108</v>
      </c>
      <c r="K166" s="1" t="s">
        <v>109</v>
      </c>
      <c r="L166" s="1">
        <v>2024893</v>
      </c>
      <c r="M166" s="1" t="s">
        <v>338</v>
      </c>
      <c r="N166" s="5">
        <f>DATE(2015,10,21)</f>
        <v>42298</v>
      </c>
      <c r="O166" s="5">
        <f>DATE(2020,7,30)</f>
        <v>44042</v>
      </c>
      <c r="P166" s="5">
        <f t="shared" si="40"/>
        <v>45137</v>
      </c>
      <c r="Q166" s="1">
        <v>4735</v>
      </c>
      <c r="R166" s="1">
        <v>3600</v>
      </c>
      <c r="S166" s="1">
        <f t="shared" si="41"/>
        <v>3600</v>
      </c>
      <c r="T166" s="1">
        <v>2.5</v>
      </c>
      <c r="U166" s="1" t="str">
        <f t="shared" si="42"/>
        <v>NÃO</v>
      </c>
      <c r="V166" s="1">
        <f t="shared" si="43"/>
        <v>1745</v>
      </c>
      <c r="W166" s="4">
        <f t="shared" si="44"/>
        <v>2.0630372492836675</v>
      </c>
      <c r="X166" s="4">
        <f t="shared" si="45"/>
        <v>753.00859598853867</v>
      </c>
      <c r="Y166" s="4">
        <f t="shared" si="46"/>
        <v>0.94126074498567336</v>
      </c>
      <c r="AB166" s="5">
        <f t="shared" si="47"/>
        <v>45292</v>
      </c>
      <c r="AC166" s="5">
        <f t="shared" si="48"/>
        <v>45657</v>
      </c>
      <c r="AE166" s="1">
        <f t="shared" si="49"/>
        <v>0</v>
      </c>
      <c r="AF166" s="1">
        <f t="shared" si="50"/>
        <v>0</v>
      </c>
      <c r="AG166" s="1">
        <f t="shared" si="51"/>
        <v>0</v>
      </c>
      <c r="AH166" s="1">
        <f t="shared" si="52"/>
        <v>0</v>
      </c>
      <c r="AI166" s="1">
        <f t="shared" si="53"/>
        <v>183</v>
      </c>
      <c r="AJ166" s="3">
        <f t="shared" si="54"/>
        <v>0.5</v>
      </c>
      <c r="AK166" s="3">
        <f t="shared" si="55"/>
        <v>0.47063037249283668</v>
      </c>
      <c r="AL166" s="3">
        <f t="shared" si="56"/>
        <v>0</v>
      </c>
      <c r="AM166" s="3">
        <f t="shared" si="57"/>
        <v>0</v>
      </c>
      <c r="AN166" s="3">
        <f t="shared" si="58"/>
        <v>0</v>
      </c>
      <c r="AO166" s="3">
        <f t="shared" si="59"/>
        <v>0</v>
      </c>
      <c r="AP166" s="1" t="str">
        <f>INDEX({"EAD";"EAD";"EAD";"EAD MOOC";"EAD";"EAD";"EAD FP";"EAD";"PRESENCIAL";"PRESENCIAL";"PRESENCIAL";"PRESENCIAL"}, MATCH(CONCATENATE(E166, ".", F166),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67" spans="1:42" x14ac:dyDescent="0.25">
      <c r="A167" s="1" t="s">
        <v>27</v>
      </c>
      <c r="B167" s="1" t="s">
        <v>37</v>
      </c>
      <c r="C167" s="1" t="s">
        <v>29</v>
      </c>
      <c r="D167" s="1" t="s">
        <v>38</v>
      </c>
      <c r="E167" s="1" t="s">
        <v>120</v>
      </c>
      <c r="F167" s="1" t="s">
        <v>21</v>
      </c>
      <c r="G167" s="1" t="s">
        <v>140</v>
      </c>
      <c r="H167" s="1" t="s">
        <v>332</v>
      </c>
      <c r="I167" s="1" t="s">
        <v>124</v>
      </c>
      <c r="J167" s="1" t="s">
        <v>125</v>
      </c>
      <c r="K167" s="1" t="s">
        <v>109</v>
      </c>
      <c r="L167" s="1">
        <v>2024898</v>
      </c>
      <c r="M167" s="1" t="s">
        <v>339</v>
      </c>
      <c r="N167" s="5">
        <f>DATE(2015,10,21)</f>
        <v>42298</v>
      </c>
      <c r="O167" s="5">
        <f>DATE(2017,12,23)</f>
        <v>43092</v>
      </c>
      <c r="P167" s="5">
        <f t="shared" si="40"/>
        <v>44187</v>
      </c>
      <c r="Q167" s="1">
        <v>1980</v>
      </c>
      <c r="R167" s="1">
        <v>1600</v>
      </c>
      <c r="S167" s="1">
        <f t="shared" si="41"/>
        <v>1600</v>
      </c>
      <c r="T167" s="1">
        <v>1</v>
      </c>
      <c r="U167" s="1" t="str">
        <f t="shared" si="42"/>
        <v>NÃO</v>
      </c>
      <c r="V167" s="1">
        <f t="shared" si="43"/>
        <v>795</v>
      </c>
      <c r="W167" s="4">
        <f t="shared" si="44"/>
        <v>2.0125786163522013</v>
      </c>
      <c r="X167" s="4">
        <f t="shared" si="45"/>
        <v>734.59119496855351</v>
      </c>
      <c r="Y167" s="4">
        <f t="shared" si="46"/>
        <v>0.91823899371069184</v>
      </c>
      <c r="AB167" s="5">
        <f t="shared" si="47"/>
        <v>45292</v>
      </c>
      <c r="AC167" s="5">
        <f t="shared" si="48"/>
        <v>45657</v>
      </c>
      <c r="AE167" s="1">
        <f t="shared" si="49"/>
        <v>0</v>
      </c>
      <c r="AF167" s="1">
        <f t="shared" si="50"/>
        <v>0</v>
      </c>
      <c r="AG167" s="1">
        <f t="shared" si="51"/>
        <v>0</v>
      </c>
      <c r="AH167" s="1">
        <f t="shared" si="52"/>
        <v>0</v>
      </c>
      <c r="AI167" s="1">
        <f t="shared" si="53"/>
        <v>183</v>
      </c>
      <c r="AJ167" s="3">
        <f t="shared" si="54"/>
        <v>0.5</v>
      </c>
      <c r="AK167" s="3">
        <f t="shared" si="55"/>
        <v>0.45911949685534592</v>
      </c>
      <c r="AL167" s="3">
        <f t="shared" si="56"/>
        <v>0</v>
      </c>
      <c r="AM167" s="3">
        <f t="shared" si="57"/>
        <v>0</v>
      </c>
      <c r="AN167" s="3">
        <f t="shared" si="58"/>
        <v>0</v>
      </c>
      <c r="AO167" s="3">
        <f t="shared" si="59"/>
        <v>0</v>
      </c>
      <c r="AP167" s="1" t="str">
        <f>INDEX({"EAD";"EAD";"EAD";"EAD MOOC";"EAD";"EAD";"EAD FP";"EAD";"PRESENCIAL";"PRESENCIAL";"PRESENCIAL";"PRESENCIAL"}, MATCH(CONCATENATE(E167, ".", F167),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68" spans="1:42" x14ac:dyDescent="0.25">
      <c r="A168" s="1" t="s">
        <v>27</v>
      </c>
      <c r="B168" s="1" t="s">
        <v>37</v>
      </c>
      <c r="C168" s="1" t="s">
        <v>29</v>
      </c>
      <c r="D168" s="1" t="s">
        <v>38</v>
      </c>
      <c r="E168" s="1" t="s">
        <v>120</v>
      </c>
      <c r="F168" s="1" t="s">
        <v>21</v>
      </c>
      <c r="G168" s="1" t="s">
        <v>121</v>
      </c>
      <c r="H168" s="1" t="s">
        <v>322</v>
      </c>
      <c r="I168" s="1" t="s">
        <v>107</v>
      </c>
      <c r="J168" s="1" t="s">
        <v>108</v>
      </c>
      <c r="K168" s="1" t="s">
        <v>109</v>
      </c>
      <c r="L168" s="1">
        <v>2022667</v>
      </c>
      <c r="M168" s="1" t="s">
        <v>340</v>
      </c>
      <c r="N168" s="5">
        <f>DATE(2016,4,11)</f>
        <v>42471</v>
      </c>
      <c r="O168" s="5">
        <f>DATE(2020,12,23)</f>
        <v>44188</v>
      </c>
      <c r="P168" s="5">
        <f t="shared" si="40"/>
        <v>45283</v>
      </c>
      <c r="Q168" s="1">
        <v>4607</v>
      </c>
      <c r="R168" s="1">
        <v>3600</v>
      </c>
      <c r="S168" s="1">
        <f t="shared" si="41"/>
        <v>3600</v>
      </c>
      <c r="T168" s="1">
        <v>2.5</v>
      </c>
      <c r="U168" s="1" t="str">
        <f t="shared" si="42"/>
        <v>NÃO</v>
      </c>
      <c r="V168" s="1">
        <f t="shared" si="43"/>
        <v>1718</v>
      </c>
      <c r="W168" s="4">
        <f t="shared" si="44"/>
        <v>2.0954598370197903</v>
      </c>
      <c r="X168" s="4">
        <f t="shared" si="45"/>
        <v>764.84284051222346</v>
      </c>
      <c r="Y168" s="4">
        <f t="shared" si="46"/>
        <v>0.9560535506402793</v>
      </c>
      <c r="AB168" s="5">
        <f t="shared" si="47"/>
        <v>45292</v>
      </c>
      <c r="AC168" s="5">
        <f t="shared" si="48"/>
        <v>45657</v>
      </c>
      <c r="AE168" s="1">
        <f t="shared" si="49"/>
        <v>0</v>
      </c>
      <c r="AF168" s="1">
        <f t="shared" si="50"/>
        <v>0</v>
      </c>
      <c r="AG168" s="1">
        <f t="shared" si="51"/>
        <v>0</v>
      </c>
      <c r="AH168" s="1">
        <f t="shared" si="52"/>
        <v>0</v>
      </c>
      <c r="AI168" s="1">
        <f t="shared" si="53"/>
        <v>183</v>
      </c>
      <c r="AJ168" s="3">
        <f t="shared" si="54"/>
        <v>0.5</v>
      </c>
      <c r="AK168" s="3">
        <f t="shared" si="55"/>
        <v>0.47802677532013965</v>
      </c>
      <c r="AL168" s="3">
        <f t="shared" si="56"/>
        <v>0</v>
      </c>
      <c r="AM168" s="3">
        <f t="shared" si="57"/>
        <v>0</v>
      </c>
      <c r="AN168" s="3">
        <f t="shared" si="58"/>
        <v>0</v>
      </c>
      <c r="AO168" s="3">
        <f t="shared" si="59"/>
        <v>0</v>
      </c>
      <c r="AP168" s="1" t="str">
        <f>INDEX({"EAD";"EAD";"EAD";"EAD MOOC";"EAD";"EAD";"EAD FP";"EAD";"PRESENCIAL";"PRESENCIAL";"PRESENCIAL";"PRESENCIAL"}, MATCH(CONCATENATE(E168, ".", F168),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69" spans="1:42" x14ac:dyDescent="0.25">
      <c r="A169" s="1" t="s">
        <v>27</v>
      </c>
      <c r="B169" s="1" t="s">
        <v>37</v>
      </c>
      <c r="C169" s="1" t="s">
        <v>29</v>
      </c>
      <c r="D169" s="1" t="s">
        <v>38</v>
      </c>
      <c r="E169" s="1" t="s">
        <v>120</v>
      </c>
      <c r="F169" s="1" t="s">
        <v>21</v>
      </c>
      <c r="G169" s="1" t="s">
        <v>278</v>
      </c>
      <c r="H169" s="1" t="s">
        <v>320</v>
      </c>
      <c r="I169" s="1" t="s">
        <v>172</v>
      </c>
      <c r="J169" s="1" t="s">
        <v>125</v>
      </c>
      <c r="K169" s="1" t="s">
        <v>109</v>
      </c>
      <c r="L169" s="1">
        <v>2022722</v>
      </c>
      <c r="M169" s="1" t="s">
        <v>341</v>
      </c>
      <c r="N169" s="5">
        <f>DATE(2016,4,11)</f>
        <v>42471</v>
      </c>
      <c r="O169" s="5">
        <f>DATE(2019,12,23)</f>
        <v>43822</v>
      </c>
      <c r="P169" s="5">
        <f t="shared" si="40"/>
        <v>44917</v>
      </c>
      <c r="Q169" s="1">
        <v>3456</v>
      </c>
      <c r="R169" s="1">
        <v>3200</v>
      </c>
      <c r="S169" s="1">
        <f t="shared" si="41"/>
        <v>3200</v>
      </c>
      <c r="T169" s="1">
        <v>2.5</v>
      </c>
      <c r="U169" s="1" t="str">
        <f t="shared" si="42"/>
        <v>NÃO</v>
      </c>
      <c r="V169" s="1">
        <f t="shared" si="43"/>
        <v>1352</v>
      </c>
      <c r="W169" s="4">
        <f t="shared" si="44"/>
        <v>2.3668639053254439</v>
      </c>
      <c r="X169" s="4">
        <f t="shared" si="45"/>
        <v>863.90532544378698</v>
      </c>
      <c r="Y169" s="4">
        <f t="shared" si="46"/>
        <v>1.0798816568047338</v>
      </c>
      <c r="AB169" s="5">
        <f t="shared" si="47"/>
        <v>45292</v>
      </c>
      <c r="AC169" s="5">
        <f t="shared" si="48"/>
        <v>45657</v>
      </c>
      <c r="AE169" s="1">
        <f t="shared" si="49"/>
        <v>0</v>
      </c>
      <c r="AF169" s="1">
        <f t="shared" si="50"/>
        <v>0</v>
      </c>
      <c r="AG169" s="1">
        <f t="shared" si="51"/>
        <v>0</v>
      </c>
      <c r="AH169" s="1">
        <f t="shared" si="52"/>
        <v>0</v>
      </c>
      <c r="AI169" s="1">
        <f t="shared" si="53"/>
        <v>183</v>
      </c>
      <c r="AJ169" s="3">
        <f t="shared" si="54"/>
        <v>0.5</v>
      </c>
      <c r="AK169" s="3">
        <f t="shared" si="55"/>
        <v>0.5399408284023669</v>
      </c>
      <c r="AL169" s="3">
        <f t="shared" si="56"/>
        <v>0</v>
      </c>
      <c r="AM169" s="3">
        <f t="shared" si="57"/>
        <v>0</v>
      </c>
      <c r="AN169" s="3">
        <f t="shared" si="58"/>
        <v>0</v>
      </c>
      <c r="AO169" s="3">
        <f t="shared" si="59"/>
        <v>0</v>
      </c>
      <c r="AP169" s="1" t="str">
        <f>INDEX({"EAD";"EAD";"EAD";"EAD MOOC";"EAD";"EAD";"EAD FP";"EAD";"PRESENCIAL";"PRESENCIAL";"PRESENCIAL";"PRESENCIAL"}, MATCH(CONCATENATE(E169, ".", F169),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70" spans="1:42" x14ac:dyDescent="0.25">
      <c r="A170" s="1" t="s">
        <v>27</v>
      </c>
      <c r="B170" s="1" t="s">
        <v>37</v>
      </c>
      <c r="C170" s="1" t="s">
        <v>29</v>
      </c>
      <c r="D170" s="1" t="s">
        <v>38</v>
      </c>
      <c r="E170" s="1" t="s">
        <v>120</v>
      </c>
      <c r="F170" s="1" t="s">
        <v>21</v>
      </c>
      <c r="G170" s="1" t="s">
        <v>140</v>
      </c>
      <c r="H170" s="1" t="s">
        <v>325</v>
      </c>
      <c r="I170" s="1" t="s">
        <v>228</v>
      </c>
      <c r="J170" s="1" t="s">
        <v>108</v>
      </c>
      <c r="K170" s="1" t="s">
        <v>109</v>
      </c>
      <c r="L170" s="1">
        <v>2022724</v>
      </c>
      <c r="M170" s="1" t="s">
        <v>342</v>
      </c>
      <c r="N170" s="5">
        <f>DATE(2016,4,11)</f>
        <v>42471</v>
      </c>
      <c r="O170" s="5">
        <f>DATE(2018,12,23)</f>
        <v>43457</v>
      </c>
      <c r="P170" s="5">
        <f t="shared" si="40"/>
        <v>44552</v>
      </c>
      <c r="Q170" s="1">
        <v>2628</v>
      </c>
      <c r="R170" s="1">
        <v>2400</v>
      </c>
      <c r="S170" s="1">
        <f t="shared" si="41"/>
        <v>2400</v>
      </c>
      <c r="T170" s="1">
        <v>2.5</v>
      </c>
      <c r="U170" s="1" t="str">
        <f t="shared" si="42"/>
        <v>NÃO</v>
      </c>
      <c r="V170" s="1">
        <f t="shared" si="43"/>
        <v>987</v>
      </c>
      <c r="W170" s="4">
        <f t="shared" si="44"/>
        <v>2.43161094224924</v>
      </c>
      <c r="X170" s="4">
        <f t="shared" si="45"/>
        <v>887.53799392097255</v>
      </c>
      <c r="Y170" s="4">
        <f t="shared" si="46"/>
        <v>1.1094224924012157</v>
      </c>
      <c r="AB170" s="5">
        <f t="shared" si="47"/>
        <v>45292</v>
      </c>
      <c r="AC170" s="5">
        <f t="shared" si="48"/>
        <v>45657</v>
      </c>
      <c r="AE170" s="1">
        <f t="shared" si="49"/>
        <v>0</v>
      </c>
      <c r="AF170" s="1">
        <f t="shared" si="50"/>
        <v>0</v>
      </c>
      <c r="AG170" s="1">
        <f t="shared" si="51"/>
        <v>0</v>
      </c>
      <c r="AH170" s="1">
        <f t="shared" si="52"/>
        <v>0</v>
      </c>
      <c r="AI170" s="1">
        <f t="shared" si="53"/>
        <v>183</v>
      </c>
      <c r="AJ170" s="3">
        <f t="shared" si="54"/>
        <v>0.5</v>
      </c>
      <c r="AK170" s="3">
        <f t="shared" si="55"/>
        <v>0.55471124620060785</v>
      </c>
      <c r="AL170" s="3">
        <f t="shared" si="56"/>
        <v>0</v>
      </c>
      <c r="AM170" s="3">
        <f t="shared" si="57"/>
        <v>0</v>
      </c>
      <c r="AN170" s="3">
        <f t="shared" si="58"/>
        <v>0</v>
      </c>
      <c r="AO170" s="3">
        <f t="shared" si="59"/>
        <v>0</v>
      </c>
      <c r="AP170" s="1" t="str">
        <f>INDEX({"EAD";"EAD";"EAD";"EAD MOOC";"EAD";"EAD";"EAD FP";"EAD";"PRESENCIAL";"PRESENCIAL";"PRESENCIAL";"PRESENCIAL"}, MATCH(CONCATENATE(E170, ".", F170),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71" spans="1:42" x14ac:dyDescent="0.25">
      <c r="A171" s="1" t="s">
        <v>27</v>
      </c>
      <c r="B171" s="1" t="s">
        <v>37</v>
      </c>
      <c r="C171" s="1" t="s">
        <v>29</v>
      </c>
      <c r="D171" s="1" t="s">
        <v>38</v>
      </c>
      <c r="E171" s="1" t="s">
        <v>120</v>
      </c>
      <c r="F171" s="1" t="s">
        <v>21</v>
      </c>
      <c r="G171" s="1" t="s">
        <v>128</v>
      </c>
      <c r="H171" s="1" t="s">
        <v>343</v>
      </c>
      <c r="I171" s="1" t="s">
        <v>209</v>
      </c>
      <c r="J171" s="1" t="s">
        <v>125</v>
      </c>
      <c r="K171" s="1" t="s">
        <v>130</v>
      </c>
      <c r="L171" s="1">
        <v>2025565</v>
      </c>
      <c r="M171" s="1" t="s">
        <v>344</v>
      </c>
      <c r="N171" s="5">
        <f>DATE(2016,4,11)</f>
        <v>42471</v>
      </c>
      <c r="O171" s="5">
        <f>DATE(2018,12,22)</f>
        <v>43456</v>
      </c>
      <c r="P171" s="5">
        <f t="shared" si="40"/>
        <v>44551</v>
      </c>
      <c r="Q171" s="1">
        <v>4176</v>
      </c>
      <c r="R171" s="1">
        <v>1000</v>
      </c>
      <c r="S171" s="1">
        <f t="shared" si="41"/>
        <v>3100</v>
      </c>
      <c r="T171" s="1">
        <v>1.5</v>
      </c>
      <c r="U171" s="1" t="str">
        <f t="shared" si="42"/>
        <v>NÃO</v>
      </c>
      <c r="V171" s="1">
        <f t="shared" si="43"/>
        <v>986</v>
      </c>
      <c r="W171" s="4">
        <f t="shared" si="44"/>
        <v>3.1440162271805274</v>
      </c>
      <c r="X171" s="4">
        <f t="shared" si="45"/>
        <v>1147.5659229208925</v>
      </c>
      <c r="Y171" s="4">
        <f t="shared" si="46"/>
        <v>1.4344574036511155</v>
      </c>
      <c r="AB171" s="5">
        <f t="shared" si="47"/>
        <v>45292</v>
      </c>
      <c r="AC171" s="5">
        <f t="shared" si="48"/>
        <v>45657</v>
      </c>
      <c r="AE171" s="1">
        <f t="shared" si="49"/>
        <v>0</v>
      </c>
      <c r="AF171" s="1">
        <f t="shared" si="50"/>
        <v>0</v>
      </c>
      <c r="AG171" s="1">
        <f t="shared" si="51"/>
        <v>0</v>
      </c>
      <c r="AH171" s="1">
        <f t="shared" si="52"/>
        <v>0</v>
      </c>
      <c r="AI171" s="1">
        <f t="shared" si="53"/>
        <v>183</v>
      </c>
      <c r="AJ171" s="3">
        <f t="shared" si="54"/>
        <v>0.5</v>
      </c>
      <c r="AK171" s="3">
        <f t="shared" si="55"/>
        <v>0.71722870182555776</v>
      </c>
      <c r="AL171" s="3">
        <f t="shared" si="56"/>
        <v>0</v>
      </c>
      <c r="AM171" s="3">
        <f t="shared" si="57"/>
        <v>0</v>
      </c>
      <c r="AN171" s="3">
        <f t="shared" si="58"/>
        <v>0</v>
      </c>
      <c r="AO171" s="3">
        <f t="shared" si="59"/>
        <v>0</v>
      </c>
      <c r="AP171" s="1" t="str">
        <f>INDEX({"EAD";"EAD";"EAD";"EAD MOOC";"EAD";"EAD";"EAD FP";"EAD";"PRESENCIAL";"PRESENCIAL";"PRESENCIAL";"PRESENCIAL"}, MATCH(CONCATENATE(E171, ".", F171),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72" spans="1:42" x14ac:dyDescent="0.25">
      <c r="A172" s="1" t="s">
        <v>27</v>
      </c>
      <c r="B172" s="1" t="s">
        <v>37</v>
      </c>
      <c r="C172" s="1" t="s">
        <v>29</v>
      </c>
      <c r="D172" s="1" t="s">
        <v>38</v>
      </c>
      <c r="E172" s="1" t="s">
        <v>120</v>
      </c>
      <c r="F172" s="1" t="s">
        <v>21</v>
      </c>
      <c r="G172" s="1" t="s">
        <v>121</v>
      </c>
      <c r="H172" s="1" t="s">
        <v>322</v>
      </c>
      <c r="I172" s="1" t="s">
        <v>107</v>
      </c>
      <c r="J172" s="1" t="s">
        <v>108</v>
      </c>
      <c r="K172" s="1" t="s">
        <v>109</v>
      </c>
      <c r="L172" s="1">
        <v>2108771</v>
      </c>
      <c r="M172" s="1" t="s">
        <v>345</v>
      </c>
      <c r="N172" s="5">
        <f>DATE(2016,9,19)</f>
        <v>42632</v>
      </c>
      <c r="O172" s="5">
        <f>DATE(2021,7,30)</f>
        <v>44407</v>
      </c>
      <c r="P172" s="5">
        <f t="shared" si="40"/>
        <v>45502</v>
      </c>
      <c r="Q172" s="1">
        <v>4607</v>
      </c>
      <c r="R172" s="1">
        <v>3600</v>
      </c>
      <c r="S172" s="1">
        <f t="shared" si="41"/>
        <v>3600</v>
      </c>
      <c r="T172" s="1">
        <v>2.5</v>
      </c>
      <c r="U172" s="1" t="str">
        <f t="shared" si="42"/>
        <v>SIM</v>
      </c>
      <c r="V172" s="1">
        <f t="shared" si="43"/>
        <v>1776</v>
      </c>
      <c r="W172" s="4">
        <f t="shared" si="44"/>
        <v>2.0270270270270272</v>
      </c>
      <c r="X172" s="4">
        <f t="shared" si="45"/>
        <v>739.8648648648649</v>
      </c>
      <c r="Y172" s="4">
        <f t="shared" si="46"/>
        <v>0.92483108108108114</v>
      </c>
      <c r="AB172" s="5">
        <f t="shared" si="47"/>
        <v>45292</v>
      </c>
      <c r="AC172" s="5">
        <f t="shared" si="48"/>
        <v>45657</v>
      </c>
      <c r="AD172" s="1">
        <v>9</v>
      </c>
      <c r="AE172" s="1">
        <f t="shared" si="49"/>
        <v>0</v>
      </c>
      <c r="AF172" s="1">
        <f t="shared" si="50"/>
        <v>0</v>
      </c>
      <c r="AG172" s="1">
        <f t="shared" si="51"/>
        <v>0</v>
      </c>
      <c r="AH172" s="1">
        <f t="shared" si="52"/>
        <v>0</v>
      </c>
      <c r="AI172" s="1">
        <f t="shared" si="53"/>
        <v>183</v>
      </c>
      <c r="AJ172" s="3">
        <f t="shared" si="54"/>
        <v>0.5</v>
      </c>
      <c r="AK172" s="3">
        <f t="shared" si="55"/>
        <v>0.46241554054054057</v>
      </c>
      <c r="AL172" s="3">
        <f t="shared" si="56"/>
        <v>2.0808699324324325</v>
      </c>
      <c r="AM172" s="3">
        <f t="shared" si="57"/>
        <v>5.2021748310810807</v>
      </c>
      <c r="AN172" s="3">
        <f t="shared" si="58"/>
        <v>2.6010874155405403</v>
      </c>
      <c r="AO172" s="3">
        <f t="shared" si="59"/>
        <v>7.803262246621621</v>
      </c>
      <c r="AP172" s="1" t="str">
        <f>INDEX({"EAD";"EAD";"EAD";"EAD MOOC";"EAD";"EAD";"EAD FP";"EAD";"PRESENCIAL";"PRESENCIAL";"PRESENCIAL";"PRESENCIAL"}, MATCH(CONCATENATE(E172, ".", F172),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73" spans="1:42" x14ac:dyDescent="0.25">
      <c r="A173" s="1" t="s">
        <v>27</v>
      </c>
      <c r="B173" s="1" t="s">
        <v>37</v>
      </c>
      <c r="C173" s="1" t="s">
        <v>29</v>
      </c>
      <c r="D173" s="1" t="s">
        <v>38</v>
      </c>
      <c r="E173" s="1" t="s">
        <v>120</v>
      </c>
      <c r="F173" s="1" t="s">
        <v>21</v>
      </c>
      <c r="G173" s="1" t="s">
        <v>140</v>
      </c>
      <c r="H173" s="1" t="s">
        <v>325</v>
      </c>
      <c r="I173" s="1" t="s">
        <v>228</v>
      </c>
      <c r="J173" s="1" t="s">
        <v>108</v>
      </c>
      <c r="K173" s="1" t="s">
        <v>109</v>
      </c>
      <c r="L173" s="1">
        <v>2145341</v>
      </c>
      <c r="M173" s="1" t="s">
        <v>346</v>
      </c>
      <c r="N173" s="5">
        <f>DATE(2017,3,20)</f>
        <v>42814</v>
      </c>
      <c r="O173" s="5">
        <f>DATE(2019,12,23)</f>
        <v>43822</v>
      </c>
      <c r="P173" s="5">
        <f t="shared" si="40"/>
        <v>44917</v>
      </c>
      <c r="Q173" s="1">
        <v>2628</v>
      </c>
      <c r="R173" s="1">
        <v>2400</v>
      </c>
      <c r="S173" s="1">
        <f t="shared" si="41"/>
        <v>2400</v>
      </c>
      <c r="T173" s="1">
        <v>2.5</v>
      </c>
      <c r="U173" s="1" t="str">
        <f t="shared" si="42"/>
        <v>NÃO</v>
      </c>
      <c r="V173" s="1">
        <f t="shared" si="43"/>
        <v>1009</v>
      </c>
      <c r="W173" s="4">
        <f t="shared" si="44"/>
        <v>2.3785926660059467</v>
      </c>
      <c r="X173" s="4">
        <f t="shared" si="45"/>
        <v>868.18632309217048</v>
      </c>
      <c r="Y173" s="4">
        <f t="shared" si="46"/>
        <v>1.0852329038652131</v>
      </c>
      <c r="AB173" s="5">
        <f t="shared" si="47"/>
        <v>45292</v>
      </c>
      <c r="AC173" s="5">
        <f t="shared" si="48"/>
        <v>45657</v>
      </c>
      <c r="AE173" s="1">
        <f t="shared" si="49"/>
        <v>0</v>
      </c>
      <c r="AF173" s="1">
        <f t="shared" si="50"/>
        <v>0</v>
      </c>
      <c r="AG173" s="1">
        <f t="shared" si="51"/>
        <v>0</v>
      </c>
      <c r="AH173" s="1">
        <f t="shared" si="52"/>
        <v>0</v>
      </c>
      <c r="AI173" s="1">
        <f t="shared" si="53"/>
        <v>183</v>
      </c>
      <c r="AJ173" s="3">
        <f t="shared" si="54"/>
        <v>0.5</v>
      </c>
      <c r="AK173" s="3">
        <f t="shared" si="55"/>
        <v>0.54261645193260655</v>
      </c>
      <c r="AL173" s="3">
        <f t="shared" si="56"/>
        <v>0</v>
      </c>
      <c r="AM173" s="3">
        <f t="shared" si="57"/>
        <v>0</v>
      </c>
      <c r="AN173" s="3">
        <f t="shared" si="58"/>
        <v>0</v>
      </c>
      <c r="AO173" s="3">
        <f t="shared" si="59"/>
        <v>0</v>
      </c>
      <c r="AP173" s="1" t="str">
        <f>INDEX({"EAD";"EAD";"EAD";"EAD MOOC";"EAD";"EAD";"EAD FP";"EAD";"PRESENCIAL";"PRESENCIAL";"PRESENCIAL";"PRESENCIAL"}, MATCH(CONCATENATE(E173, ".", F173),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74" spans="1:42" x14ac:dyDescent="0.25">
      <c r="A174" s="1" t="s">
        <v>27</v>
      </c>
      <c r="B174" s="1" t="s">
        <v>37</v>
      </c>
      <c r="C174" s="1" t="s">
        <v>29</v>
      </c>
      <c r="D174" s="1" t="s">
        <v>38</v>
      </c>
      <c r="E174" s="1" t="s">
        <v>120</v>
      </c>
      <c r="F174" s="1" t="s">
        <v>21</v>
      </c>
      <c r="G174" s="1" t="s">
        <v>140</v>
      </c>
      <c r="H174" s="1" t="s">
        <v>332</v>
      </c>
      <c r="I174" s="1" t="s">
        <v>124</v>
      </c>
      <c r="J174" s="1" t="s">
        <v>125</v>
      </c>
      <c r="K174" s="1" t="s">
        <v>109</v>
      </c>
      <c r="L174" s="1">
        <v>2145346</v>
      </c>
      <c r="M174" s="1" t="s">
        <v>347</v>
      </c>
      <c r="N174" s="5">
        <f>DATE(2017,3,20)</f>
        <v>42814</v>
      </c>
      <c r="O174" s="5">
        <f>DATE(2019,7,30)</f>
        <v>43676</v>
      </c>
      <c r="P174" s="5">
        <f t="shared" si="40"/>
        <v>44771</v>
      </c>
      <c r="Q174" s="1">
        <v>1980</v>
      </c>
      <c r="R174" s="1">
        <v>1600</v>
      </c>
      <c r="S174" s="1">
        <f t="shared" si="41"/>
        <v>1600</v>
      </c>
      <c r="T174" s="1">
        <v>1</v>
      </c>
      <c r="U174" s="1" t="str">
        <f t="shared" si="42"/>
        <v>NÃO</v>
      </c>
      <c r="V174" s="1">
        <f t="shared" si="43"/>
        <v>863</v>
      </c>
      <c r="W174" s="4">
        <f t="shared" si="44"/>
        <v>1.853997682502897</v>
      </c>
      <c r="X174" s="4">
        <f t="shared" si="45"/>
        <v>676.70915411355736</v>
      </c>
      <c r="Y174" s="4">
        <f t="shared" si="46"/>
        <v>0.84588644264194668</v>
      </c>
      <c r="AB174" s="5">
        <f t="shared" si="47"/>
        <v>45292</v>
      </c>
      <c r="AC174" s="5">
        <f t="shared" si="48"/>
        <v>45657</v>
      </c>
      <c r="AE174" s="1">
        <f t="shared" si="49"/>
        <v>0</v>
      </c>
      <c r="AF174" s="1">
        <f t="shared" si="50"/>
        <v>0</v>
      </c>
      <c r="AG174" s="1">
        <f t="shared" si="51"/>
        <v>0</v>
      </c>
      <c r="AH174" s="1">
        <f t="shared" si="52"/>
        <v>0</v>
      </c>
      <c r="AI174" s="1">
        <f t="shared" si="53"/>
        <v>183</v>
      </c>
      <c r="AJ174" s="3">
        <f t="shared" si="54"/>
        <v>0.5</v>
      </c>
      <c r="AK174" s="3">
        <f t="shared" si="55"/>
        <v>0.42294322132097334</v>
      </c>
      <c r="AL174" s="3">
        <f t="shared" si="56"/>
        <v>0</v>
      </c>
      <c r="AM174" s="3">
        <f t="shared" si="57"/>
        <v>0</v>
      </c>
      <c r="AN174" s="3">
        <f t="shared" si="58"/>
        <v>0</v>
      </c>
      <c r="AO174" s="3">
        <f t="shared" si="59"/>
        <v>0</v>
      </c>
      <c r="AP174" s="1" t="str">
        <f>INDEX({"EAD";"EAD";"EAD";"EAD MOOC";"EAD";"EAD";"EAD FP";"EAD";"PRESENCIAL";"PRESENCIAL";"PRESENCIAL";"PRESENCIAL"}, MATCH(CONCATENATE(E174, ".", F174),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75" spans="1:42" x14ac:dyDescent="0.25">
      <c r="A175" s="1" t="s">
        <v>27</v>
      </c>
      <c r="B175" s="1" t="s">
        <v>37</v>
      </c>
      <c r="C175" s="1" t="s">
        <v>29</v>
      </c>
      <c r="D175" s="1" t="s">
        <v>38</v>
      </c>
      <c r="E175" s="1" t="s">
        <v>120</v>
      </c>
      <c r="F175" s="1" t="s">
        <v>21</v>
      </c>
      <c r="G175" s="1" t="s">
        <v>278</v>
      </c>
      <c r="H175" s="1" t="s">
        <v>320</v>
      </c>
      <c r="I175" s="1" t="s">
        <v>172</v>
      </c>
      <c r="J175" s="1" t="s">
        <v>125</v>
      </c>
      <c r="K175" s="1" t="s">
        <v>109</v>
      </c>
      <c r="L175" s="1">
        <v>2146435</v>
      </c>
      <c r="M175" s="1" t="s">
        <v>348</v>
      </c>
      <c r="N175" s="5">
        <f>DATE(2017,3,20)</f>
        <v>42814</v>
      </c>
      <c r="O175" s="5">
        <f>DATE(2020,12,22)</f>
        <v>44187</v>
      </c>
      <c r="P175" s="5">
        <f t="shared" si="40"/>
        <v>45282</v>
      </c>
      <c r="Q175" s="1">
        <v>3656</v>
      </c>
      <c r="R175" s="1">
        <v>3200</v>
      </c>
      <c r="S175" s="1">
        <f t="shared" si="41"/>
        <v>3200</v>
      </c>
      <c r="T175" s="1">
        <v>2.5</v>
      </c>
      <c r="U175" s="1" t="str">
        <f t="shared" si="42"/>
        <v>NÃO</v>
      </c>
      <c r="V175" s="1">
        <f t="shared" si="43"/>
        <v>1374</v>
      </c>
      <c r="W175" s="4">
        <f t="shared" si="44"/>
        <v>2.3289665211062589</v>
      </c>
      <c r="X175" s="4">
        <f t="shared" si="45"/>
        <v>850.07278020378453</v>
      </c>
      <c r="Y175" s="4">
        <f t="shared" si="46"/>
        <v>1.0625909752547307</v>
      </c>
      <c r="AB175" s="5">
        <f t="shared" si="47"/>
        <v>45292</v>
      </c>
      <c r="AC175" s="5">
        <f t="shared" si="48"/>
        <v>45657</v>
      </c>
      <c r="AD175" s="1">
        <v>2</v>
      </c>
      <c r="AE175" s="1">
        <f t="shared" si="49"/>
        <v>0</v>
      </c>
      <c r="AF175" s="1">
        <f t="shared" si="50"/>
        <v>0</v>
      </c>
      <c r="AG175" s="1">
        <f t="shared" si="51"/>
        <v>0</v>
      </c>
      <c r="AH175" s="1">
        <f t="shared" si="52"/>
        <v>0</v>
      </c>
      <c r="AI175" s="1">
        <f t="shared" si="53"/>
        <v>183</v>
      </c>
      <c r="AJ175" s="3">
        <f t="shared" si="54"/>
        <v>0.5</v>
      </c>
      <c r="AK175" s="3">
        <f t="shared" si="55"/>
        <v>0.53129548762736534</v>
      </c>
      <c r="AL175" s="3">
        <f t="shared" si="56"/>
        <v>0</v>
      </c>
      <c r="AM175" s="3">
        <f t="shared" si="57"/>
        <v>0</v>
      </c>
      <c r="AN175" s="3">
        <f t="shared" si="58"/>
        <v>0</v>
      </c>
      <c r="AO175" s="3">
        <f t="shared" si="59"/>
        <v>0</v>
      </c>
      <c r="AP175" s="1" t="str">
        <f>INDEX({"EAD";"EAD";"EAD";"EAD MOOC";"EAD";"EAD";"EAD FP";"EAD";"PRESENCIAL";"PRESENCIAL";"PRESENCIAL";"PRESENCIAL"}, MATCH(CONCATENATE(E175, ".", F175),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76" spans="1:42" x14ac:dyDescent="0.25">
      <c r="A176" s="1" t="s">
        <v>27</v>
      </c>
      <c r="B176" s="1" t="s">
        <v>37</v>
      </c>
      <c r="C176" s="1" t="s">
        <v>29</v>
      </c>
      <c r="D176" s="1" t="s">
        <v>38</v>
      </c>
      <c r="E176" s="1" t="s">
        <v>120</v>
      </c>
      <c r="F176" s="1" t="s">
        <v>21</v>
      </c>
      <c r="G176" s="1" t="s">
        <v>121</v>
      </c>
      <c r="H176" s="1" t="s">
        <v>322</v>
      </c>
      <c r="I176" s="1" t="s">
        <v>107</v>
      </c>
      <c r="J176" s="1" t="s">
        <v>108</v>
      </c>
      <c r="K176" s="1" t="s">
        <v>109</v>
      </c>
      <c r="L176" s="1">
        <v>2147561</v>
      </c>
      <c r="M176" s="1" t="s">
        <v>349</v>
      </c>
      <c r="N176" s="5">
        <f>DATE(2017,3,20)</f>
        <v>42814</v>
      </c>
      <c r="O176" s="5">
        <f>DATE(2021,12,22)</f>
        <v>44552</v>
      </c>
      <c r="P176" s="5">
        <f t="shared" si="40"/>
        <v>45647</v>
      </c>
      <c r="Q176" s="1">
        <v>4590</v>
      </c>
      <c r="R176" s="1">
        <v>3600</v>
      </c>
      <c r="S176" s="1">
        <f t="shared" si="41"/>
        <v>3600</v>
      </c>
      <c r="T176" s="1">
        <v>2.5</v>
      </c>
      <c r="U176" s="1" t="str">
        <f t="shared" si="42"/>
        <v>SIM</v>
      </c>
      <c r="V176" s="1">
        <f t="shared" si="43"/>
        <v>1739</v>
      </c>
      <c r="W176" s="4">
        <f t="shared" si="44"/>
        <v>2.0701552616446235</v>
      </c>
      <c r="X176" s="4">
        <f t="shared" si="45"/>
        <v>755.60667050028758</v>
      </c>
      <c r="Y176" s="4">
        <f t="shared" si="46"/>
        <v>0.9445083381253595</v>
      </c>
      <c r="AB176" s="5">
        <f t="shared" si="47"/>
        <v>45292</v>
      </c>
      <c r="AC176" s="5">
        <f t="shared" si="48"/>
        <v>45657</v>
      </c>
      <c r="AD176" s="1">
        <v>5</v>
      </c>
      <c r="AE176" s="1">
        <f t="shared" si="49"/>
        <v>0</v>
      </c>
      <c r="AF176" s="1">
        <f t="shared" si="50"/>
        <v>0</v>
      </c>
      <c r="AG176" s="1">
        <f t="shared" si="51"/>
        <v>0</v>
      </c>
      <c r="AH176" s="1">
        <f t="shared" si="52"/>
        <v>0</v>
      </c>
      <c r="AI176" s="1">
        <f t="shared" si="53"/>
        <v>183</v>
      </c>
      <c r="AJ176" s="3">
        <f t="shared" si="54"/>
        <v>0.5</v>
      </c>
      <c r="AK176" s="3">
        <f t="shared" si="55"/>
        <v>0.47225416906267975</v>
      </c>
      <c r="AL176" s="3">
        <f t="shared" si="56"/>
        <v>1.1806354226566993</v>
      </c>
      <c r="AM176" s="3">
        <f t="shared" si="57"/>
        <v>2.9515885566417484</v>
      </c>
      <c r="AN176" s="3">
        <f t="shared" si="58"/>
        <v>1.4757942783208742</v>
      </c>
      <c r="AO176" s="3">
        <f t="shared" si="59"/>
        <v>4.4273828349626223</v>
      </c>
      <c r="AP176" s="1" t="str">
        <f>INDEX({"EAD";"EAD";"EAD";"EAD MOOC";"EAD";"EAD";"EAD FP";"EAD";"PRESENCIAL";"PRESENCIAL";"PRESENCIAL";"PRESENCIAL"}, MATCH(CONCATENATE(E176, ".", F176),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77" spans="1:42" x14ac:dyDescent="0.25">
      <c r="A177" s="1" t="s">
        <v>27</v>
      </c>
      <c r="B177" s="1" t="s">
        <v>37</v>
      </c>
      <c r="C177" s="1" t="s">
        <v>29</v>
      </c>
      <c r="D177" s="1" t="s">
        <v>38</v>
      </c>
      <c r="E177" s="1" t="s">
        <v>120</v>
      </c>
      <c r="F177" s="1" t="s">
        <v>21</v>
      </c>
      <c r="G177" s="1" t="s">
        <v>121</v>
      </c>
      <c r="H177" s="1" t="s">
        <v>322</v>
      </c>
      <c r="I177" s="1" t="s">
        <v>107</v>
      </c>
      <c r="J177" s="1" t="s">
        <v>108</v>
      </c>
      <c r="K177" s="1" t="s">
        <v>109</v>
      </c>
      <c r="L177" s="1">
        <v>2194865</v>
      </c>
      <c r="M177" s="1" t="s">
        <v>350</v>
      </c>
      <c r="N177" s="5">
        <f>DATE(2017,9,4)</f>
        <v>42982</v>
      </c>
      <c r="O177" s="5">
        <f>DATE(2022,7,30)</f>
        <v>44772</v>
      </c>
      <c r="P177" s="5">
        <f t="shared" si="40"/>
        <v>45867</v>
      </c>
      <c r="Q177" s="1">
        <v>4590</v>
      </c>
      <c r="R177" s="1">
        <v>3600</v>
      </c>
      <c r="S177" s="1">
        <f t="shared" si="41"/>
        <v>3600</v>
      </c>
      <c r="T177" s="1">
        <v>2.5</v>
      </c>
      <c r="U177" s="1" t="str">
        <f t="shared" si="42"/>
        <v>SIM</v>
      </c>
      <c r="V177" s="1">
        <f t="shared" si="43"/>
        <v>1791</v>
      </c>
      <c r="W177" s="4">
        <f t="shared" si="44"/>
        <v>2.0100502512562812</v>
      </c>
      <c r="X177" s="4">
        <f t="shared" si="45"/>
        <v>733.6683417085427</v>
      </c>
      <c r="Y177" s="4">
        <f t="shared" si="46"/>
        <v>0.91708542713567842</v>
      </c>
      <c r="AB177" s="5">
        <f t="shared" si="47"/>
        <v>45292</v>
      </c>
      <c r="AC177" s="5">
        <f t="shared" si="48"/>
        <v>45657</v>
      </c>
      <c r="AD177" s="1">
        <v>11</v>
      </c>
      <c r="AE177" s="1">
        <f t="shared" si="49"/>
        <v>0</v>
      </c>
      <c r="AF177" s="1">
        <f t="shared" si="50"/>
        <v>0</v>
      </c>
      <c r="AG177" s="1">
        <f t="shared" si="51"/>
        <v>0</v>
      </c>
      <c r="AH177" s="1">
        <f t="shared" si="52"/>
        <v>0</v>
      </c>
      <c r="AI177" s="1">
        <f t="shared" si="53"/>
        <v>183</v>
      </c>
      <c r="AJ177" s="3">
        <f t="shared" si="54"/>
        <v>0.5</v>
      </c>
      <c r="AK177" s="3">
        <f t="shared" si="55"/>
        <v>0.45854271356783921</v>
      </c>
      <c r="AL177" s="3">
        <f t="shared" si="56"/>
        <v>2.5219849246231156</v>
      </c>
      <c r="AM177" s="3">
        <f t="shared" si="57"/>
        <v>6.3049623115577891</v>
      </c>
      <c r="AN177" s="3">
        <f t="shared" si="58"/>
        <v>3.1524811557788945</v>
      </c>
      <c r="AO177" s="3">
        <f t="shared" si="59"/>
        <v>9.4574434673366845</v>
      </c>
      <c r="AP177" s="1" t="str">
        <f>INDEX({"EAD";"EAD";"EAD";"EAD MOOC";"EAD";"EAD";"EAD FP";"EAD";"PRESENCIAL";"PRESENCIAL";"PRESENCIAL";"PRESENCIAL"}, MATCH(CONCATENATE(E177, ".", F177),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78" spans="1:42" x14ac:dyDescent="0.25">
      <c r="A178" s="1" t="s">
        <v>27</v>
      </c>
      <c r="B178" s="1" t="s">
        <v>37</v>
      </c>
      <c r="C178" s="1" t="s">
        <v>29</v>
      </c>
      <c r="D178" s="1" t="s">
        <v>38</v>
      </c>
      <c r="E178" s="1" t="s">
        <v>120</v>
      </c>
      <c r="F178" s="1" t="s">
        <v>21</v>
      </c>
      <c r="G178" s="1" t="s">
        <v>121</v>
      </c>
      <c r="H178" s="1" t="s">
        <v>322</v>
      </c>
      <c r="I178" s="1" t="s">
        <v>107</v>
      </c>
      <c r="J178" s="1" t="s">
        <v>108</v>
      </c>
      <c r="K178" s="1" t="s">
        <v>109</v>
      </c>
      <c r="L178" s="1">
        <v>2489393</v>
      </c>
      <c r="M178" s="1" t="s">
        <v>351</v>
      </c>
      <c r="N178" s="5">
        <f>DATE(2018,3,19)</f>
        <v>43178</v>
      </c>
      <c r="O178" s="5">
        <f>DATE(2022,12,22)</f>
        <v>44917</v>
      </c>
      <c r="P178" s="5">
        <f t="shared" si="40"/>
        <v>46012</v>
      </c>
      <c r="Q178" s="1">
        <v>4590</v>
      </c>
      <c r="R178" s="1">
        <v>3600</v>
      </c>
      <c r="S178" s="1">
        <f t="shared" si="41"/>
        <v>3600</v>
      </c>
      <c r="T178" s="1">
        <v>2.5</v>
      </c>
      <c r="U178" s="1" t="str">
        <f t="shared" si="42"/>
        <v>SIM</v>
      </c>
      <c r="V178" s="1">
        <f t="shared" si="43"/>
        <v>1740</v>
      </c>
      <c r="W178" s="4">
        <f t="shared" si="44"/>
        <v>2.0689655172413794</v>
      </c>
      <c r="X178" s="4">
        <f t="shared" si="45"/>
        <v>755.17241379310349</v>
      </c>
      <c r="Y178" s="4">
        <f t="shared" si="46"/>
        <v>0.94396551724137934</v>
      </c>
      <c r="AB178" s="5">
        <f t="shared" si="47"/>
        <v>45292</v>
      </c>
      <c r="AC178" s="5">
        <f t="shared" si="48"/>
        <v>45657</v>
      </c>
      <c r="AD178" s="1">
        <v>13</v>
      </c>
      <c r="AE178" s="1">
        <f t="shared" si="49"/>
        <v>0</v>
      </c>
      <c r="AF178" s="1">
        <f t="shared" si="50"/>
        <v>0</v>
      </c>
      <c r="AG178" s="1">
        <f t="shared" si="51"/>
        <v>0</v>
      </c>
      <c r="AH178" s="1">
        <f t="shared" si="52"/>
        <v>0</v>
      </c>
      <c r="AI178" s="1">
        <f t="shared" si="53"/>
        <v>183</v>
      </c>
      <c r="AJ178" s="3">
        <f t="shared" si="54"/>
        <v>0.5</v>
      </c>
      <c r="AK178" s="3">
        <f t="shared" si="55"/>
        <v>0.47198275862068967</v>
      </c>
      <c r="AL178" s="3">
        <f t="shared" si="56"/>
        <v>3.0678879310344827</v>
      </c>
      <c r="AM178" s="3">
        <f t="shared" si="57"/>
        <v>7.6697198275862064</v>
      </c>
      <c r="AN178" s="3">
        <f t="shared" si="58"/>
        <v>3.8348599137931032</v>
      </c>
      <c r="AO178" s="3">
        <f t="shared" si="59"/>
        <v>11.50457974137931</v>
      </c>
      <c r="AP178" s="1" t="str">
        <f>INDEX({"EAD";"EAD";"EAD";"EAD MOOC";"EAD";"EAD";"EAD FP";"EAD";"PRESENCIAL";"PRESENCIAL";"PRESENCIAL";"PRESENCIAL"}, MATCH(CONCATENATE(E178, ".", F178),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79" spans="1:42" x14ac:dyDescent="0.25">
      <c r="A179" s="1" t="s">
        <v>27</v>
      </c>
      <c r="B179" s="1" t="s">
        <v>37</v>
      </c>
      <c r="C179" s="1" t="s">
        <v>29</v>
      </c>
      <c r="D179" s="1" t="s">
        <v>38</v>
      </c>
      <c r="E179" s="1" t="s">
        <v>120</v>
      </c>
      <c r="F179" s="1" t="s">
        <v>21</v>
      </c>
      <c r="G179" s="1" t="s">
        <v>140</v>
      </c>
      <c r="H179" s="1" t="s">
        <v>325</v>
      </c>
      <c r="I179" s="1" t="s">
        <v>228</v>
      </c>
      <c r="J179" s="1" t="s">
        <v>108</v>
      </c>
      <c r="K179" s="1" t="s">
        <v>109</v>
      </c>
      <c r="L179" s="1">
        <v>2489398</v>
      </c>
      <c r="M179" s="1" t="s">
        <v>352</v>
      </c>
      <c r="N179" s="5">
        <f>DATE(2018,3,19)</f>
        <v>43178</v>
      </c>
      <c r="O179" s="5">
        <f>DATE(2020,12,22)</f>
        <v>44187</v>
      </c>
      <c r="P179" s="5">
        <f t="shared" si="40"/>
        <v>45282</v>
      </c>
      <c r="Q179" s="1">
        <v>2628</v>
      </c>
      <c r="R179" s="1">
        <v>2400</v>
      </c>
      <c r="S179" s="1">
        <f t="shared" si="41"/>
        <v>2400</v>
      </c>
      <c r="T179" s="1">
        <v>2.5</v>
      </c>
      <c r="U179" s="1" t="str">
        <f t="shared" si="42"/>
        <v>NÃO</v>
      </c>
      <c r="V179" s="1">
        <f t="shared" si="43"/>
        <v>1010</v>
      </c>
      <c r="W179" s="4">
        <f t="shared" si="44"/>
        <v>2.3762376237623761</v>
      </c>
      <c r="X179" s="4">
        <f t="shared" si="45"/>
        <v>867.32673267326732</v>
      </c>
      <c r="Y179" s="4">
        <f t="shared" si="46"/>
        <v>1.0841584158415842</v>
      </c>
      <c r="AB179" s="5">
        <f t="shared" si="47"/>
        <v>45292</v>
      </c>
      <c r="AC179" s="5">
        <f t="shared" si="48"/>
        <v>45657</v>
      </c>
      <c r="AE179" s="1">
        <f t="shared" si="49"/>
        <v>0</v>
      </c>
      <c r="AF179" s="1">
        <f t="shared" si="50"/>
        <v>0</v>
      </c>
      <c r="AG179" s="1">
        <f t="shared" si="51"/>
        <v>0</v>
      </c>
      <c r="AH179" s="1">
        <f t="shared" si="52"/>
        <v>0</v>
      </c>
      <c r="AI179" s="1">
        <f t="shared" si="53"/>
        <v>183</v>
      </c>
      <c r="AJ179" s="3">
        <f t="shared" si="54"/>
        <v>0.5</v>
      </c>
      <c r="AK179" s="3">
        <f t="shared" si="55"/>
        <v>0.54207920792079212</v>
      </c>
      <c r="AL179" s="3">
        <f t="shared" si="56"/>
        <v>0</v>
      </c>
      <c r="AM179" s="3">
        <f t="shared" si="57"/>
        <v>0</v>
      </c>
      <c r="AN179" s="3">
        <f t="shared" si="58"/>
        <v>0</v>
      </c>
      <c r="AO179" s="3">
        <f t="shared" si="59"/>
        <v>0</v>
      </c>
      <c r="AP179" s="1" t="str">
        <f>INDEX({"EAD";"EAD";"EAD";"EAD MOOC";"EAD";"EAD";"EAD FP";"EAD";"PRESENCIAL";"PRESENCIAL";"PRESENCIAL";"PRESENCIAL"}, MATCH(CONCATENATE(E179, ".", F179),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80" spans="1:42" x14ac:dyDescent="0.25">
      <c r="A180" s="1" t="s">
        <v>27</v>
      </c>
      <c r="B180" s="1" t="s">
        <v>37</v>
      </c>
      <c r="C180" s="1" t="s">
        <v>29</v>
      </c>
      <c r="D180" s="1" t="s">
        <v>38</v>
      </c>
      <c r="E180" s="1" t="s">
        <v>120</v>
      </c>
      <c r="F180" s="1" t="s">
        <v>21</v>
      </c>
      <c r="G180" s="1" t="s">
        <v>140</v>
      </c>
      <c r="H180" s="1" t="s">
        <v>332</v>
      </c>
      <c r="I180" s="1" t="s">
        <v>124</v>
      </c>
      <c r="J180" s="1" t="s">
        <v>125</v>
      </c>
      <c r="K180" s="1" t="s">
        <v>109</v>
      </c>
      <c r="L180" s="1">
        <v>2489411</v>
      </c>
      <c r="M180" s="1" t="s">
        <v>353</v>
      </c>
      <c r="N180" s="5">
        <f>DATE(2018,3,19)</f>
        <v>43178</v>
      </c>
      <c r="O180" s="5">
        <f>DATE(2020,7,30)</f>
        <v>44042</v>
      </c>
      <c r="P180" s="5">
        <f t="shared" si="40"/>
        <v>45137</v>
      </c>
      <c r="Q180" s="1">
        <v>1980</v>
      </c>
      <c r="R180" s="1">
        <v>1600</v>
      </c>
      <c r="S180" s="1">
        <f t="shared" si="41"/>
        <v>1600</v>
      </c>
      <c r="T180" s="1">
        <v>1</v>
      </c>
      <c r="U180" s="1" t="str">
        <f t="shared" si="42"/>
        <v>NÃO</v>
      </c>
      <c r="V180" s="1">
        <f t="shared" si="43"/>
        <v>865</v>
      </c>
      <c r="W180" s="4">
        <f t="shared" si="44"/>
        <v>1.8497109826589595</v>
      </c>
      <c r="X180" s="4">
        <f t="shared" si="45"/>
        <v>675.14450867052017</v>
      </c>
      <c r="Y180" s="4">
        <f t="shared" si="46"/>
        <v>0.8439306358381502</v>
      </c>
      <c r="AB180" s="5">
        <f t="shared" si="47"/>
        <v>45292</v>
      </c>
      <c r="AC180" s="5">
        <f t="shared" si="48"/>
        <v>45657</v>
      </c>
      <c r="AE180" s="1">
        <f t="shared" si="49"/>
        <v>0</v>
      </c>
      <c r="AF180" s="1">
        <f t="shared" si="50"/>
        <v>0</v>
      </c>
      <c r="AG180" s="1">
        <f t="shared" si="51"/>
        <v>0</v>
      </c>
      <c r="AH180" s="1">
        <f t="shared" si="52"/>
        <v>0</v>
      </c>
      <c r="AI180" s="1">
        <f t="shared" si="53"/>
        <v>183</v>
      </c>
      <c r="AJ180" s="3">
        <f t="shared" si="54"/>
        <v>0.5</v>
      </c>
      <c r="AK180" s="3">
        <f t="shared" si="55"/>
        <v>0.4219653179190751</v>
      </c>
      <c r="AL180" s="3">
        <f t="shared" si="56"/>
        <v>0</v>
      </c>
      <c r="AM180" s="3">
        <f t="shared" si="57"/>
        <v>0</v>
      </c>
      <c r="AN180" s="3">
        <f t="shared" si="58"/>
        <v>0</v>
      </c>
      <c r="AO180" s="3">
        <f t="shared" si="59"/>
        <v>0</v>
      </c>
      <c r="AP180" s="1" t="str">
        <f>INDEX({"EAD";"EAD";"EAD";"EAD MOOC";"EAD";"EAD";"EAD FP";"EAD";"PRESENCIAL";"PRESENCIAL";"PRESENCIAL";"PRESENCIAL"}, MATCH(CONCATENATE(E180, ".", F180),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81" spans="1:42" x14ac:dyDescent="0.25">
      <c r="A181" s="1" t="s">
        <v>27</v>
      </c>
      <c r="B181" s="1" t="s">
        <v>37</v>
      </c>
      <c r="C181" s="1" t="s">
        <v>29</v>
      </c>
      <c r="D181" s="1" t="s">
        <v>38</v>
      </c>
      <c r="E181" s="1" t="s">
        <v>120</v>
      </c>
      <c r="F181" s="1" t="s">
        <v>21</v>
      </c>
      <c r="G181" s="1" t="s">
        <v>128</v>
      </c>
      <c r="H181" s="1" t="s">
        <v>132</v>
      </c>
      <c r="I181" s="1" t="s">
        <v>107</v>
      </c>
      <c r="J181" s="1" t="s">
        <v>108</v>
      </c>
      <c r="K181" s="1" t="s">
        <v>130</v>
      </c>
      <c r="L181" s="1">
        <v>2490041</v>
      </c>
      <c r="M181" s="1" t="s">
        <v>354</v>
      </c>
      <c r="N181" s="5">
        <f>DATE(2018,3,19)</f>
        <v>43178</v>
      </c>
      <c r="O181" s="5">
        <f>DATE(2020,12,22)</f>
        <v>44187</v>
      </c>
      <c r="P181" s="5">
        <f t="shared" si="40"/>
        <v>45282</v>
      </c>
      <c r="Q181" s="1">
        <v>4176</v>
      </c>
      <c r="R181" s="1">
        <v>1200</v>
      </c>
      <c r="S181" s="1">
        <f t="shared" si="41"/>
        <v>3200</v>
      </c>
      <c r="T181" s="1">
        <v>2.5</v>
      </c>
      <c r="U181" s="1" t="str">
        <f t="shared" si="42"/>
        <v>NÃO</v>
      </c>
      <c r="V181" s="1">
        <f t="shared" si="43"/>
        <v>1010</v>
      </c>
      <c r="W181" s="4">
        <f t="shared" si="44"/>
        <v>3.1683168316831685</v>
      </c>
      <c r="X181" s="4">
        <f t="shared" si="45"/>
        <v>1156.4356435643565</v>
      </c>
      <c r="Y181" s="4">
        <f t="shared" si="46"/>
        <v>1.4455445544554457</v>
      </c>
      <c r="AB181" s="5">
        <f t="shared" si="47"/>
        <v>45292</v>
      </c>
      <c r="AC181" s="5">
        <f t="shared" si="48"/>
        <v>45657</v>
      </c>
      <c r="AE181" s="1">
        <f t="shared" si="49"/>
        <v>0</v>
      </c>
      <c r="AF181" s="1">
        <f t="shared" si="50"/>
        <v>0</v>
      </c>
      <c r="AG181" s="1">
        <f t="shared" si="51"/>
        <v>0</v>
      </c>
      <c r="AH181" s="1">
        <f t="shared" si="52"/>
        <v>0</v>
      </c>
      <c r="AI181" s="1">
        <f t="shared" si="53"/>
        <v>183</v>
      </c>
      <c r="AJ181" s="3">
        <f t="shared" si="54"/>
        <v>0.5</v>
      </c>
      <c r="AK181" s="3">
        <f t="shared" si="55"/>
        <v>0.72277227722772286</v>
      </c>
      <c r="AL181" s="3">
        <f t="shared" si="56"/>
        <v>0</v>
      </c>
      <c r="AM181" s="3">
        <f t="shared" si="57"/>
        <v>0</v>
      </c>
      <c r="AN181" s="3">
        <f t="shared" si="58"/>
        <v>0</v>
      </c>
      <c r="AO181" s="3">
        <f t="shared" si="59"/>
        <v>0</v>
      </c>
      <c r="AP181" s="1" t="str">
        <f>INDEX({"EAD";"EAD";"EAD";"EAD MOOC";"EAD";"EAD";"EAD FP";"EAD";"PRESENCIAL";"PRESENCIAL";"PRESENCIAL";"PRESENCIAL"}, MATCH(CONCATENATE(E181, ".", F181),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82" spans="1:42" x14ac:dyDescent="0.25">
      <c r="A182" s="1" t="s">
        <v>27</v>
      </c>
      <c r="B182" s="1" t="s">
        <v>37</v>
      </c>
      <c r="C182" s="1" t="s">
        <v>29</v>
      </c>
      <c r="D182" s="1" t="s">
        <v>38</v>
      </c>
      <c r="E182" s="1" t="s">
        <v>120</v>
      </c>
      <c r="F182" s="1" t="s">
        <v>21</v>
      </c>
      <c r="G182" s="1" t="s">
        <v>278</v>
      </c>
      <c r="H182" s="1" t="s">
        <v>320</v>
      </c>
      <c r="I182" s="1" t="s">
        <v>172</v>
      </c>
      <c r="J182" s="1" t="s">
        <v>125</v>
      </c>
      <c r="K182" s="1" t="s">
        <v>109</v>
      </c>
      <c r="L182" s="1">
        <v>2490943</v>
      </c>
      <c r="M182" s="1" t="s">
        <v>355</v>
      </c>
      <c r="N182" s="5">
        <f>DATE(2018,3,19)</f>
        <v>43178</v>
      </c>
      <c r="O182" s="5">
        <f>DATE(2022,7,30)</f>
        <v>44772</v>
      </c>
      <c r="P182" s="5">
        <f t="shared" si="40"/>
        <v>45867</v>
      </c>
      <c r="Q182" s="1">
        <v>3400</v>
      </c>
      <c r="R182" s="1">
        <v>3200</v>
      </c>
      <c r="S182" s="1">
        <f t="shared" si="41"/>
        <v>3200</v>
      </c>
      <c r="T182" s="1">
        <v>2.5</v>
      </c>
      <c r="U182" s="1" t="str">
        <f t="shared" si="42"/>
        <v>SIM</v>
      </c>
      <c r="V182" s="1">
        <f t="shared" si="43"/>
        <v>1595</v>
      </c>
      <c r="W182" s="4">
        <f t="shared" si="44"/>
        <v>2.0062695924764888</v>
      </c>
      <c r="X182" s="4">
        <f t="shared" si="45"/>
        <v>732.28840125391844</v>
      </c>
      <c r="Y182" s="4">
        <f t="shared" si="46"/>
        <v>0.91536050156739801</v>
      </c>
      <c r="AB182" s="5">
        <f t="shared" si="47"/>
        <v>45292</v>
      </c>
      <c r="AC182" s="5">
        <f t="shared" si="48"/>
        <v>45657</v>
      </c>
      <c r="AD182" s="1">
        <v>3</v>
      </c>
      <c r="AE182" s="1">
        <f t="shared" si="49"/>
        <v>0</v>
      </c>
      <c r="AF182" s="1">
        <f t="shared" si="50"/>
        <v>0</v>
      </c>
      <c r="AG182" s="1">
        <f t="shared" si="51"/>
        <v>0</v>
      </c>
      <c r="AH182" s="1">
        <f t="shared" si="52"/>
        <v>0</v>
      </c>
      <c r="AI182" s="1">
        <f t="shared" si="53"/>
        <v>183</v>
      </c>
      <c r="AJ182" s="3">
        <f t="shared" si="54"/>
        <v>0.5</v>
      </c>
      <c r="AK182" s="3">
        <f t="shared" si="55"/>
        <v>0.45768025078369901</v>
      </c>
      <c r="AL182" s="3">
        <f t="shared" si="56"/>
        <v>0.68652037617554851</v>
      </c>
      <c r="AM182" s="3">
        <f t="shared" si="57"/>
        <v>1.7163009404388712</v>
      </c>
      <c r="AN182" s="3">
        <f t="shared" si="58"/>
        <v>0</v>
      </c>
      <c r="AO182" s="3">
        <f t="shared" si="59"/>
        <v>1.7163009404388712</v>
      </c>
      <c r="AP182" s="1" t="str">
        <f>INDEX({"EAD";"EAD";"EAD";"EAD MOOC";"EAD";"EAD";"EAD FP";"EAD";"PRESENCIAL";"PRESENCIAL";"PRESENCIAL";"PRESENCIAL"}, MATCH(CONCATENATE(E182, ".", F182),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83" spans="1:42" x14ac:dyDescent="0.25">
      <c r="A183" s="1" t="s">
        <v>27</v>
      </c>
      <c r="B183" s="1" t="s">
        <v>37</v>
      </c>
      <c r="C183" s="1" t="s">
        <v>29</v>
      </c>
      <c r="D183" s="1" t="s">
        <v>38</v>
      </c>
      <c r="E183" s="1" t="s">
        <v>120</v>
      </c>
      <c r="F183" s="1" t="s">
        <v>21</v>
      </c>
      <c r="G183" s="1" t="s">
        <v>121</v>
      </c>
      <c r="H183" s="1" t="s">
        <v>322</v>
      </c>
      <c r="I183" s="1" t="s">
        <v>107</v>
      </c>
      <c r="J183" s="1" t="s">
        <v>108</v>
      </c>
      <c r="K183" s="1" t="s">
        <v>109</v>
      </c>
      <c r="L183" s="1">
        <v>2526066</v>
      </c>
      <c r="M183" s="1" t="s">
        <v>356</v>
      </c>
      <c r="N183" s="5">
        <f>DATE(2018,8,13)</f>
        <v>43325</v>
      </c>
      <c r="O183" s="5">
        <f>DATE(2023,7,30)</f>
        <v>45137</v>
      </c>
      <c r="P183" s="5">
        <f t="shared" si="40"/>
        <v>46232</v>
      </c>
      <c r="Q183" s="1">
        <v>4590</v>
      </c>
      <c r="R183" s="1">
        <v>3600</v>
      </c>
      <c r="S183" s="1">
        <f t="shared" si="41"/>
        <v>3600</v>
      </c>
      <c r="T183" s="1">
        <v>2.5</v>
      </c>
      <c r="U183" s="1" t="str">
        <f t="shared" si="42"/>
        <v>SIM</v>
      </c>
      <c r="V183" s="1">
        <f t="shared" si="43"/>
        <v>1813</v>
      </c>
      <c r="W183" s="4">
        <f t="shared" si="44"/>
        <v>1.9856591285162715</v>
      </c>
      <c r="X183" s="4">
        <f t="shared" si="45"/>
        <v>724.76558190843912</v>
      </c>
      <c r="Y183" s="4">
        <f t="shared" si="46"/>
        <v>0.90595697738554892</v>
      </c>
      <c r="AB183" s="5">
        <f t="shared" si="47"/>
        <v>45292</v>
      </c>
      <c r="AC183" s="5">
        <f t="shared" si="48"/>
        <v>45657</v>
      </c>
      <c r="AD183" s="1">
        <v>12</v>
      </c>
      <c r="AE183" s="1">
        <f t="shared" si="49"/>
        <v>0</v>
      </c>
      <c r="AF183" s="1">
        <f t="shared" si="50"/>
        <v>0</v>
      </c>
      <c r="AG183" s="1">
        <f t="shared" si="51"/>
        <v>0</v>
      </c>
      <c r="AH183" s="1">
        <f t="shared" si="52"/>
        <v>0</v>
      </c>
      <c r="AI183" s="1">
        <f t="shared" si="53"/>
        <v>183</v>
      </c>
      <c r="AJ183" s="3">
        <f t="shared" si="54"/>
        <v>0.5</v>
      </c>
      <c r="AK183" s="3">
        <f t="shared" si="55"/>
        <v>0.45297848869277446</v>
      </c>
      <c r="AL183" s="3">
        <f t="shared" si="56"/>
        <v>2.7178709321566465</v>
      </c>
      <c r="AM183" s="3">
        <f t="shared" si="57"/>
        <v>6.7946773303916164</v>
      </c>
      <c r="AN183" s="3">
        <f t="shared" si="58"/>
        <v>3.3973386651958082</v>
      </c>
      <c r="AO183" s="3">
        <f t="shared" si="59"/>
        <v>10.192015995587425</v>
      </c>
      <c r="AP183" s="1" t="str">
        <f>INDEX({"EAD";"EAD";"EAD";"EAD MOOC";"EAD";"EAD";"EAD FP";"EAD";"PRESENCIAL";"PRESENCIAL";"PRESENCIAL";"PRESENCIAL"}, MATCH(CONCATENATE(E183, ".", F183),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84" spans="1:42" x14ac:dyDescent="0.25">
      <c r="A184" s="1" t="s">
        <v>27</v>
      </c>
      <c r="B184" s="1" t="s">
        <v>37</v>
      </c>
      <c r="C184" s="1" t="s">
        <v>29</v>
      </c>
      <c r="D184" s="1" t="s">
        <v>38</v>
      </c>
      <c r="E184" s="1" t="s">
        <v>120</v>
      </c>
      <c r="F184" s="1" t="s">
        <v>21</v>
      </c>
      <c r="G184" s="1" t="s">
        <v>121</v>
      </c>
      <c r="H184" s="1" t="s">
        <v>322</v>
      </c>
      <c r="I184" s="1" t="s">
        <v>107</v>
      </c>
      <c r="J184" s="1" t="s">
        <v>108</v>
      </c>
      <c r="K184" s="1" t="s">
        <v>109</v>
      </c>
      <c r="L184" s="1">
        <v>2569603</v>
      </c>
      <c r="M184" s="1" t="s">
        <v>357</v>
      </c>
      <c r="N184" s="5">
        <f>DATE(2019,2,18)</f>
        <v>43514</v>
      </c>
      <c r="O184" s="5">
        <f>DATE(2023,12,21)</f>
        <v>45281</v>
      </c>
      <c r="P184" s="5">
        <f t="shared" si="40"/>
        <v>46376</v>
      </c>
      <c r="Q184" s="1">
        <v>4590</v>
      </c>
      <c r="R184" s="1">
        <v>3600</v>
      </c>
      <c r="S184" s="1">
        <f t="shared" si="41"/>
        <v>3600</v>
      </c>
      <c r="T184" s="1">
        <v>2.5</v>
      </c>
      <c r="U184" s="1" t="str">
        <f t="shared" si="42"/>
        <v>SIM</v>
      </c>
      <c r="V184" s="1">
        <f t="shared" si="43"/>
        <v>1768</v>
      </c>
      <c r="W184" s="4">
        <f t="shared" si="44"/>
        <v>2.0361990950226243</v>
      </c>
      <c r="X184" s="4">
        <f t="shared" si="45"/>
        <v>743.2126696832579</v>
      </c>
      <c r="Y184" s="4">
        <f t="shared" si="46"/>
        <v>0.92901583710407243</v>
      </c>
      <c r="AB184" s="5">
        <f t="shared" si="47"/>
        <v>45292</v>
      </c>
      <c r="AC184" s="5">
        <f t="shared" si="48"/>
        <v>45657</v>
      </c>
      <c r="AD184" s="1">
        <v>18</v>
      </c>
      <c r="AE184" s="1">
        <f t="shared" si="49"/>
        <v>0</v>
      </c>
      <c r="AF184" s="1">
        <f t="shared" si="50"/>
        <v>0</v>
      </c>
      <c r="AG184" s="1">
        <f t="shared" si="51"/>
        <v>0</v>
      </c>
      <c r="AH184" s="1">
        <f t="shared" si="52"/>
        <v>0</v>
      </c>
      <c r="AI184" s="1">
        <f t="shared" si="53"/>
        <v>183</v>
      </c>
      <c r="AJ184" s="3">
        <f t="shared" si="54"/>
        <v>0.5</v>
      </c>
      <c r="AK184" s="3">
        <f t="shared" si="55"/>
        <v>0.46450791855203621</v>
      </c>
      <c r="AL184" s="3">
        <f t="shared" si="56"/>
        <v>4.1805712669683261</v>
      </c>
      <c r="AM184" s="3">
        <f t="shared" si="57"/>
        <v>10.451428167420815</v>
      </c>
      <c r="AN184" s="3">
        <f t="shared" si="58"/>
        <v>5.2257140837104075</v>
      </c>
      <c r="AO184" s="3">
        <f t="shared" si="59"/>
        <v>15.677142251131222</v>
      </c>
      <c r="AP184" s="1" t="str">
        <f>INDEX({"EAD";"EAD";"EAD";"EAD MOOC";"EAD";"EAD";"EAD FP";"EAD";"PRESENCIAL";"PRESENCIAL";"PRESENCIAL";"PRESENCIAL"}, MATCH(CONCATENATE(E184, ".", F184),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85" spans="1:42" x14ac:dyDescent="0.25">
      <c r="A185" s="1" t="s">
        <v>27</v>
      </c>
      <c r="B185" s="1" t="s">
        <v>37</v>
      </c>
      <c r="C185" s="1" t="s">
        <v>29</v>
      </c>
      <c r="D185" s="1" t="s">
        <v>38</v>
      </c>
      <c r="E185" s="1" t="s">
        <v>120</v>
      </c>
      <c r="F185" s="1" t="s">
        <v>21</v>
      </c>
      <c r="G185" s="1" t="s">
        <v>140</v>
      </c>
      <c r="H185" s="1" t="s">
        <v>332</v>
      </c>
      <c r="I185" s="1" t="s">
        <v>124</v>
      </c>
      <c r="J185" s="1" t="s">
        <v>125</v>
      </c>
      <c r="K185" s="1" t="s">
        <v>109</v>
      </c>
      <c r="L185" s="1">
        <v>2569651</v>
      </c>
      <c r="M185" s="1" t="s">
        <v>358</v>
      </c>
      <c r="N185" s="5">
        <f>DATE(2019,2,18)</f>
        <v>43514</v>
      </c>
      <c r="O185" s="5">
        <f>DATE(2021,7,30)</f>
        <v>44407</v>
      </c>
      <c r="P185" s="5">
        <f t="shared" si="40"/>
        <v>45502</v>
      </c>
      <c r="Q185" s="1">
        <v>1980</v>
      </c>
      <c r="R185" s="1">
        <v>1600</v>
      </c>
      <c r="S185" s="1">
        <f t="shared" si="41"/>
        <v>1600</v>
      </c>
      <c r="T185" s="1">
        <v>1</v>
      </c>
      <c r="U185" s="1" t="str">
        <f t="shared" si="42"/>
        <v>SIM</v>
      </c>
      <c r="V185" s="1">
        <f t="shared" si="43"/>
        <v>894</v>
      </c>
      <c r="W185" s="4">
        <f t="shared" si="44"/>
        <v>1.7897091722595078</v>
      </c>
      <c r="X185" s="4">
        <f t="shared" si="45"/>
        <v>653.24384787472036</v>
      </c>
      <c r="Y185" s="4">
        <f t="shared" si="46"/>
        <v>0.81655480984340045</v>
      </c>
      <c r="AB185" s="5">
        <f t="shared" si="47"/>
        <v>45292</v>
      </c>
      <c r="AC185" s="5">
        <f t="shared" si="48"/>
        <v>45657</v>
      </c>
      <c r="AD185" s="1">
        <v>5</v>
      </c>
      <c r="AE185" s="1">
        <f t="shared" si="49"/>
        <v>0</v>
      </c>
      <c r="AF185" s="1">
        <f t="shared" si="50"/>
        <v>0</v>
      </c>
      <c r="AG185" s="1">
        <f t="shared" si="51"/>
        <v>0</v>
      </c>
      <c r="AH185" s="1">
        <f t="shared" si="52"/>
        <v>0</v>
      </c>
      <c r="AI185" s="1">
        <f t="shared" si="53"/>
        <v>183</v>
      </c>
      <c r="AJ185" s="3">
        <f t="shared" si="54"/>
        <v>0.5</v>
      </c>
      <c r="AK185" s="3">
        <f t="shared" si="55"/>
        <v>0.40827740492170023</v>
      </c>
      <c r="AL185" s="3">
        <f t="shared" si="56"/>
        <v>1.0206935123042506</v>
      </c>
      <c r="AM185" s="3">
        <f t="shared" si="57"/>
        <v>1.0206935123042506</v>
      </c>
      <c r="AN185" s="3">
        <f t="shared" si="58"/>
        <v>0</v>
      </c>
      <c r="AO185" s="3">
        <f t="shared" si="59"/>
        <v>1.0206935123042506</v>
      </c>
      <c r="AP185" s="1" t="str">
        <f>INDEX({"EAD";"EAD";"EAD";"EAD MOOC";"EAD";"EAD";"EAD FP";"EAD";"PRESENCIAL";"PRESENCIAL";"PRESENCIAL";"PRESENCIAL"}, MATCH(CONCATENATE(E185, ".", F185),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86" spans="1:42" x14ac:dyDescent="0.25">
      <c r="A186" s="1" t="s">
        <v>27</v>
      </c>
      <c r="B186" s="1" t="s">
        <v>37</v>
      </c>
      <c r="C186" s="1" t="s">
        <v>29</v>
      </c>
      <c r="D186" s="1" t="s">
        <v>38</v>
      </c>
      <c r="E186" s="1" t="s">
        <v>120</v>
      </c>
      <c r="F186" s="1" t="s">
        <v>21</v>
      </c>
      <c r="G186" s="1" t="s">
        <v>140</v>
      </c>
      <c r="H186" s="1" t="s">
        <v>325</v>
      </c>
      <c r="I186" s="1" t="s">
        <v>228</v>
      </c>
      <c r="J186" s="1" t="s">
        <v>108</v>
      </c>
      <c r="K186" s="1" t="s">
        <v>109</v>
      </c>
      <c r="L186" s="1">
        <v>2569652</v>
      </c>
      <c r="M186" s="1" t="s">
        <v>359</v>
      </c>
      <c r="N186" s="5">
        <f>DATE(2019,2,18)</f>
        <v>43514</v>
      </c>
      <c r="O186" s="5">
        <f>DATE(2021,12,21)</f>
        <v>44551</v>
      </c>
      <c r="P186" s="5">
        <f t="shared" si="40"/>
        <v>45646</v>
      </c>
      <c r="Q186" s="1">
        <v>2628</v>
      </c>
      <c r="R186" s="1">
        <v>2400</v>
      </c>
      <c r="S186" s="1">
        <f t="shared" si="41"/>
        <v>2400</v>
      </c>
      <c r="T186" s="1">
        <v>2.5</v>
      </c>
      <c r="U186" s="1" t="str">
        <f t="shared" si="42"/>
        <v>SIM</v>
      </c>
      <c r="V186" s="1">
        <f t="shared" si="43"/>
        <v>1038</v>
      </c>
      <c r="W186" s="4">
        <f t="shared" si="44"/>
        <v>2.3121387283236996</v>
      </c>
      <c r="X186" s="4">
        <f t="shared" si="45"/>
        <v>843.93063583815035</v>
      </c>
      <c r="Y186" s="4">
        <f t="shared" si="46"/>
        <v>1.054913294797688</v>
      </c>
      <c r="AB186" s="5">
        <f t="shared" si="47"/>
        <v>45292</v>
      </c>
      <c r="AC186" s="5">
        <f t="shared" si="48"/>
        <v>45657</v>
      </c>
      <c r="AD186" s="1">
        <v>4</v>
      </c>
      <c r="AE186" s="1">
        <f t="shared" si="49"/>
        <v>0</v>
      </c>
      <c r="AF186" s="1">
        <f t="shared" si="50"/>
        <v>0</v>
      </c>
      <c r="AG186" s="1">
        <f t="shared" si="51"/>
        <v>0</v>
      </c>
      <c r="AH186" s="1">
        <f t="shared" si="52"/>
        <v>0</v>
      </c>
      <c r="AI186" s="1">
        <f t="shared" si="53"/>
        <v>183</v>
      </c>
      <c r="AJ186" s="3">
        <f t="shared" si="54"/>
        <v>0.5</v>
      </c>
      <c r="AK186" s="3">
        <f t="shared" si="55"/>
        <v>0.52745664739884401</v>
      </c>
      <c r="AL186" s="3">
        <f t="shared" si="56"/>
        <v>1.054913294797688</v>
      </c>
      <c r="AM186" s="3">
        <f t="shared" si="57"/>
        <v>2.6372832369942198</v>
      </c>
      <c r="AN186" s="3">
        <f t="shared" si="58"/>
        <v>1.3186416184971099</v>
      </c>
      <c r="AO186" s="3">
        <f t="shared" si="59"/>
        <v>3.9559248554913298</v>
      </c>
      <c r="AP186" s="1" t="str">
        <f>INDEX({"EAD";"EAD";"EAD";"EAD MOOC";"EAD";"EAD";"EAD FP";"EAD";"PRESENCIAL";"PRESENCIAL";"PRESENCIAL";"PRESENCIAL"}, MATCH(CONCATENATE(E186, ".", F186),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87" spans="1:42" x14ac:dyDescent="0.25">
      <c r="A187" s="1" t="s">
        <v>27</v>
      </c>
      <c r="B187" s="1" t="s">
        <v>37</v>
      </c>
      <c r="C187" s="1" t="s">
        <v>29</v>
      </c>
      <c r="D187" s="1" t="s">
        <v>38</v>
      </c>
      <c r="E187" s="1" t="s">
        <v>120</v>
      </c>
      <c r="F187" s="1" t="s">
        <v>21</v>
      </c>
      <c r="G187" s="1" t="s">
        <v>278</v>
      </c>
      <c r="H187" s="1" t="s">
        <v>320</v>
      </c>
      <c r="I187" s="1" t="s">
        <v>172</v>
      </c>
      <c r="J187" s="1" t="s">
        <v>125</v>
      </c>
      <c r="K187" s="1" t="s">
        <v>109</v>
      </c>
      <c r="L187" s="1">
        <v>2569653</v>
      </c>
      <c r="M187" s="1" t="s">
        <v>360</v>
      </c>
      <c r="N187" s="5">
        <f>DATE(2019,2,18)</f>
        <v>43514</v>
      </c>
      <c r="O187" s="5">
        <f>DATE(2023,12,21)</f>
        <v>45281</v>
      </c>
      <c r="P187" s="5">
        <f t="shared" si="40"/>
        <v>46376</v>
      </c>
      <c r="Q187" s="1">
        <v>3400</v>
      </c>
      <c r="R187" s="1">
        <v>3200</v>
      </c>
      <c r="S187" s="1">
        <f t="shared" si="41"/>
        <v>3200</v>
      </c>
      <c r="T187" s="1">
        <v>2.5</v>
      </c>
      <c r="U187" s="1" t="str">
        <f t="shared" si="42"/>
        <v>SIM</v>
      </c>
      <c r="V187" s="1">
        <f t="shared" si="43"/>
        <v>1768</v>
      </c>
      <c r="W187" s="4">
        <f t="shared" si="44"/>
        <v>1.8099547511312217</v>
      </c>
      <c r="X187" s="4">
        <f t="shared" si="45"/>
        <v>660.63348416289591</v>
      </c>
      <c r="Y187" s="4">
        <f t="shared" si="46"/>
        <v>0.82579185520361986</v>
      </c>
      <c r="AB187" s="5">
        <f t="shared" si="47"/>
        <v>45292</v>
      </c>
      <c r="AC187" s="5">
        <f t="shared" si="48"/>
        <v>45657</v>
      </c>
      <c r="AD187" s="1">
        <v>5</v>
      </c>
      <c r="AE187" s="1">
        <f t="shared" si="49"/>
        <v>0</v>
      </c>
      <c r="AF187" s="1">
        <f t="shared" si="50"/>
        <v>0</v>
      </c>
      <c r="AG187" s="1">
        <f t="shared" si="51"/>
        <v>0</v>
      </c>
      <c r="AH187" s="1">
        <f t="shared" si="52"/>
        <v>0</v>
      </c>
      <c r="AI187" s="1">
        <f t="shared" si="53"/>
        <v>183</v>
      </c>
      <c r="AJ187" s="3">
        <f t="shared" si="54"/>
        <v>0.5</v>
      </c>
      <c r="AK187" s="3">
        <f t="shared" si="55"/>
        <v>0.41289592760180993</v>
      </c>
      <c r="AL187" s="3">
        <f t="shared" si="56"/>
        <v>1.0322398190045248</v>
      </c>
      <c r="AM187" s="3">
        <f t="shared" si="57"/>
        <v>2.5805995475113122</v>
      </c>
      <c r="AN187" s="3">
        <f t="shared" si="58"/>
        <v>0</v>
      </c>
      <c r="AO187" s="3">
        <f t="shared" si="59"/>
        <v>2.5805995475113122</v>
      </c>
      <c r="AP187" s="1" t="str">
        <f>INDEX({"EAD";"EAD";"EAD";"EAD MOOC";"EAD";"EAD";"EAD FP";"EAD";"PRESENCIAL";"PRESENCIAL";"PRESENCIAL";"PRESENCIAL"}, MATCH(CONCATENATE(E187, ".", F187),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88" spans="1:42" x14ac:dyDescent="0.25">
      <c r="A188" s="1" t="s">
        <v>27</v>
      </c>
      <c r="B188" s="1" t="s">
        <v>37</v>
      </c>
      <c r="C188" s="1" t="s">
        <v>29</v>
      </c>
      <c r="D188" s="1" t="s">
        <v>38</v>
      </c>
      <c r="E188" s="1" t="s">
        <v>120</v>
      </c>
      <c r="F188" s="1" t="s">
        <v>21</v>
      </c>
      <c r="G188" s="1" t="s">
        <v>128</v>
      </c>
      <c r="H188" s="1" t="s">
        <v>343</v>
      </c>
      <c r="I188" s="1" t="s">
        <v>209</v>
      </c>
      <c r="J188" s="1" t="s">
        <v>125</v>
      </c>
      <c r="K188" s="1" t="s">
        <v>130</v>
      </c>
      <c r="L188" s="1">
        <v>2569655</v>
      </c>
      <c r="M188" s="1" t="s">
        <v>361</v>
      </c>
      <c r="N188" s="5">
        <f>DATE(2019,2,18)</f>
        <v>43514</v>
      </c>
      <c r="O188" s="5">
        <f>DATE(2021,12,21)</f>
        <v>44551</v>
      </c>
      <c r="P188" s="5">
        <f t="shared" si="40"/>
        <v>45646</v>
      </c>
      <c r="Q188" s="1">
        <v>4176</v>
      </c>
      <c r="R188" s="1">
        <v>1000</v>
      </c>
      <c r="S188" s="1">
        <f t="shared" si="41"/>
        <v>3100</v>
      </c>
      <c r="T188" s="1">
        <v>1.5</v>
      </c>
      <c r="U188" s="1" t="str">
        <f t="shared" si="42"/>
        <v>SIM</v>
      </c>
      <c r="V188" s="1">
        <f t="shared" si="43"/>
        <v>1038</v>
      </c>
      <c r="W188" s="4">
        <f t="shared" si="44"/>
        <v>2.9865125240847785</v>
      </c>
      <c r="X188" s="4">
        <f t="shared" si="45"/>
        <v>1090.0770712909441</v>
      </c>
      <c r="Y188" s="4">
        <f t="shared" si="46"/>
        <v>1.3625963391136802</v>
      </c>
      <c r="AB188" s="5">
        <f t="shared" si="47"/>
        <v>45292</v>
      </c>
      <c r="AC188" s="5">
        <f t="shared" si="48"/>
        <v>45657</v>
      </c>
      <c r="AD188" s="1">
        <v>1</v>
      </c>
      <c r="AE188" s="1">
        <f t="shared" si="49"/>
        <v>0</v>
      </c>
      <c r="AF188" s="1">
        <f t="shared" si="50"/>
        <v>0</v>
      </c>
      <c r="AG188" s="1">
        <f t="shared" si="51"/>
        <v>0</v>
      </c>
      <c r="AH188" s="1">
        <f t="shared" si="52"/>
        <v>0</v>
      </c>
      <c r="AI188" s="1">
        <f t="shared" si="53"/>
        <v>183</v>
      </c>
      <c r="AJ188" s="3">
        <f t="shared" si="54"/>
        <v>0.5</v>
      </c>
      <c r="AK188" s="3">
        <f t="shared" si="55"/>
        <v>0.68129816955684008</v>
      </c>
      <c r="AL188" s="3">
        <f t="shared" si="56"/>
        <v>0.34064908477842004</v>
      </c>
      <c r="AM188" s="3">
        <f t="shared" si="57"/>
        <v>0.51097362716763006</v>
      </c>
      <c r="AN188" s="3">
        <f t="shared" si="58"/>
        <v>0</v>
      </c>
      <c r="AO188" s="3">
        <f t="shared" si="59"/>
        <v>0.51097362716763006</v>
      </c>
      <c r="AP188" s="1" t="str">
        <f>INDEX({"EAD";"EAD";"EAD";"EAD MOOC";"EAD";"EAD";"EAD FP";"EAD";"PRESENCIAL";"PRESENCIAL";"PRESENCIAL";"PRESENCIAL"}, MATCH(CONCATENATE(E188, ".", F188),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89" spans="1:42" x14ac:dyDescent="0.25">
      <c r="A189" s="1" t="s">
        <v>27</v>
      </c>
      <c r="B189" s="1" t="s">
        <v>37</v>
      </c>
      <c r="C189" s="1" t="s">
        <v>29</v>
      </c>
      <c r="D189" s="1" t="s">
        <v>38</v>
      </c>
      <c r="E189" s="1" t="s">
        <v>120</v>
      </c>
      <c r="F189" s="1" t="s">
        <v>21</v>
      </c>
      <c r="G189" s="1" t="s">
        <v>121</v>
      </c>
      <c r="H189" s="1" t="s">
        <v>322</v>
      </c>
      <c r="I189" s="1" t="s">
        <v>107</v>
      </c>
      <c r="J189" s="1" t="s">
        <v>108</v>
      </c>
      <c r="K189" s="1" t="s">
        <v>109</v>
      </c>
      <c r="L189" s="1">
        <v>2621562</v>
      </c>
      <c r="M189" s="1" t="s">
        <v>362</v>
      </c>
      <c r="N189" s="5">
        <f>DATE(2019,7,28)</f>
        <v>43674</v>
      </c>
      <c r="O189" s="5">
        <f>DATE(2023,7,30)</f>
        <v>45137</v>
      </c>
      <c r="P189" s="5">
        <f t="shared" si="40"/>
        <v>46232</v>
      </c>
      <c r="Q189" s="1">
        <v>4590</v>
      </c>
      <c r="R189" s="1">
        <v>3600</v>
      </c>
      <c r="S189" s="1">
        <f t="shared" si="41"/>
        <v>3600</v>
      </c>
      <c r="T189" s="1">
        <v>2.5</v>
      </c>
      <c r="U189" s="1" t="str">
        <f t="shared" si="42"/>
        <v>SIM</v>
      </c>
      <c r="V189" s="1">
        <f t="shared" si="43"/>
        <v>1464</v>
      </c>
      <c r="W189" s="4">
        <f t="shared" si="44"/>
        <v>2.459016393442623</v>
      </c>
      <c r="X189" s="4">
        <f t="shared" si="45"/>
        <v>897.54098360655735</v>
      </c>
      <c r="Y189" s="4">
        <f t="shared" si="46"/>
        <v>1.1219262295081966</v>
      </c>
      <c r="AB189" s="5">
        <f t="shared" si="47"/>
        <v>45292</v>
      </c>
      <c r="AC189" s="5">
        <f t="shared" si="48"/>
        <v>45657</v>
      </c>
      <c r="AD189" s="1">
        <v>17</v>
      </c>
      <c r="AE189" s="1">
        <f t="shared" si="49"/>
        <v>0</v>
      </c>
      <c r="AF189" s="1">
        <f t="shared" si="50"/>
        <v>0</v>
      </c>
      <c r="AG189" s="1">
        <f t="shared" si="51"/>
        <v>0</v>
      </c>
      <c r="AH189" s="1">
        <f t="shared" si="52"/>
        <v>0</v>
      </c>
      <c r="AI189" s="1">
        <f t="shared" si="53"/>
        <v>183</v>
      </c>
      <c r="AJ189" s="3">
        <f t="shared" si="54"/>
        <v>0.5</v>
      </c>
      <c r="AK189" s="3">
        <f t="shared" si="55"/>
        <v>0.56096311475409832</v>
      </c>
      <c r="AL189" s="3">
        <f t="shared" si="56"/>
        <v>4.768186475409836</v>
      </c>
      <c r="AM189" s="3">
        <f t="shared" si="57"/>
        <v>11.920466188524589</v>
      </c>
      <c r="AN189" s="3">
        <f t="shared" si="58"/>
        <v>5.9602330942622945</v>
      </c>
      <c r="AO189" s="3">
        <f t="shared" si="59"/>
        <v>17.880699282786885</v>
      </c>
      <c r="AP189" s="1" t="str">
        <f>INDEX({"EAD";"EAD";"EAD";"EAD MOOC";"EAD";"EAD";"EAD FP";"EAD";"PRESENCIAL";"PRESENCIAL";"PRESENCIAL";"PRESENCIAL"}, MATCH(CONCATENATE(E189, ".", F189),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90" spans="1:42" x14ac:dyDescent="0.25">
      <c r="A190" s="1" t="s">
        <v>27</v>
      </c>
      <c r="B190" s="1" t="s">
        <v>37</v>
      </c>
      <c r="C190" s="1" t="s">
        <v>29</v>
      </c>
      <c r="D190" s="1" t="s">
        <v>38</v>
      </c>
      <c r="E190" s="1" t="s">
        <v>120</v>
      </c>
      <c r="F190" s="1" t="s">
        <v>21</v>
      </c>
      <c r="G190" s="1" t="s">
        <v>278</v>
      </c>
      <c r="H190" s="1" t="s">
        <v>320</v>
      </c>
      <c r="I190" s="1" t="s">
        <v>172</v>
      </c>
      <c r="J190" s="1" t="s">
        <v>125</v>
      </c>
      <c r="K190" s="1" t="s">
        <v>109</v>
      </c>
      <c r="L190" s="1">
        <v>2677656</v>
      </c>
      <c r="M190" s="1" t="s">
        <v>363</v>
      </c>
      <c r="N190" s="5">
        <f>DATE(2020,2,2)</f>
        <v>43863</v>
      </c>
      <c r="O190" s="5">
        <f>DATE(2024,2,2)</f>
        <v>45324</v>
      </c>
      <c r="P190" s="5">
        <f t="shared" si="40"/>
        <v>46419</v>
      </c>
      <c r="Q190" s="1">
        <v>3400</v>
      </c>
      <c r="R190" s="1">
        <v>3200</v>
      </c>
      <c r="S190" s="1">
        <f t="shared" si="41"/>
        <v>3200</v>
      </c>
      <c r="T190" s="1">
        <v>2.5</v>
      </c>
      <c r="U190" s="1" t="str">
        <f t="shared" si="42"/>
        <v>SIM</v>
      </c>
      <c r="V190" s="1">
        <f t="shared" si="43"/>
        <v>1462</v>
      </c>
      <c r="W190" s="4">
        <f t="shared" si="44"/>
        <v>2.188782489740082</v>
      </c>
      <c r="X190" s="4">
        <f t="shared" si="45"/>
        <v>798.90560875512995</v>
      </c>
      <c r="Y190" s="4">
        <f t="shared" si="46"/>
        <v>0.99863201094391241</v>
      </c>
      <c r="AB190" s="5">
        <f t="shared" si="47"/>
        <v>45292</v>
      </c>
      <c r="AC190" s="5">
        <f t="shared" si="48"/>
        <v>45657</v>
      </c>
      <c r="AD190" s="1">
        <v>2</v>
      </c>
      <c r="AE190" s="1">
        <f t="shared" si="49"/>
        <v>0</v>
      </c>
      <c r="AF190" s="1">
        <f t="shared" si="50"/>
        <v>0</v>
      </c>
      <c r="AG190" s="1">
        <f t="shared" si="51"/>
        <v>33</v>
      </c>
      <c r="AH190" s="1">
        <f t="shared" si="52"/>
        <v>0</v>
      </c>
      <c r="AI190" s="1">
        <f t="shared" si="53"/>
        <v>0</v>
      </c>
      <c r="AJ190" s="3">
        <f t="shared" si="54"/>
        <v>9.0163934426229511E-2</v>
      </c>
      <c r="AK190" s="3">
        <f t="shared" si="55"/>
        <v>9.0040591150680624E-2</v>
      </c>
      <c r="AL190" s="3">
        <f t="shared" si="56"/>
        <v>0.18008118230136125</v>
      </c>
      <c r="AM190" s="3">
        <f t="shared" si="57"/>
        <v>0.45020295575340313</v>
      </c>
      <c r="AN190" s="3">
        <f t="shared" si="58"/>
        <v>0</v>
      </c>
      <c r="AO190" s="3">
        <f t="shared" si="59"/>
        <v>0.45020295575340313</v>
      </c>
      <c r="AP190" s="1" t="str">
        <f>INDEX({"EAD";"EAD";"EAD";"EAD MOOC";"EAD";"EAD";"EAD FP";"EAD";"PRESENCIAL";"PRESENCIAL";"PRESENCIAL";"PRESENCIAL"}, MATCH(CONCATENATE(E190, ".", F190),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91" spans="1:42" x14ac:dyDescent="0.25">
      <c r="A191" s="1" t="s">
        <v>27</v>
      </c>
      <c r="B191" s="1" t="s">
        <v>37</v>
      </c>
      <c r="C191" s="1" t="s">
        <v>29</v>
      </c>
      <c r="D191" s="1" t="s">
        <v>38</v>
      </c>
      <c r="E191" s="1" t="s">
        <v>120</v>
      </c>
      <c r="F191" s="1" t="s">
        <v>21</v>
      </c>
      <c r="G191" s="1" t="s">
        <v>121</v>
      </c>
      <c r="H191" s="1" t="s">
        <v>322</v>
      </c>
      <c r="I191" s="1" t="s">
        <v>107</v>
      </c>
      <c r="J191" s="1" t="s">
        <v>108</v>
      </c>
      <c r="K191" s="1" t="s">
        <v>109</v>
      </c>
      <c r="L191" s="1">
        <v>2677653</v>
      </c>
      <c r="M191" s="1" t="s">
        <v>364</v>
      </c>
      <c r="N191" s="5">
        <f>DATE(2020,2,3)</f>
        <v>43864</v>
      </c>
      <c r="O191" s="5">
        <f>DATE(2024,12,18)</f>
        <v>45644</v>
      </c>
      <c r="P191" s="5">
        <f t="shared" si="40"/>
        <v>46739</v>
      </c>
      <c r="Q191" s="1">
        <v>4607</v>
      </c>
      <c r="R191" s="1">
        <v>3600</v>
      </c>
      <c r="S191" s="1">
        <f t="shared" si="41"/>
        <v>3600</v>
      </c>
      <c r="T191" s="1">
        <v>2.5</v>
      </c>
      <c r="U191" s="1" t="str">
        <f t="shared" si="42"/>
        <v>SIM</v>
      </c>
      <c r="V191" s="1">
        <f t="shared" si="43"/>
        <v>1781</v>
      </c>
      <c r="W191" s="4">
        <f t="shared" si="44"/>
        <v>2.0213363279056709</v>
      </c>
      <c r="X191" s="4">
        <f t="shared" si="45"/>
        <v>737.78775968556988</v>
      </c>
      <c r="Y191" s="4">
        <f t="shared" si="46"/>
        <v>0.92223469960696236</v>
      </c>
      <c r="AB191" s="5">
        <f t="shared" si="47"/>
        <v>45292</v>
      </c>
      <c r="AC191" s="5">
        <f t="shared" si="48"/>
        <v>45657</v>
      </c>
      <c r="AD191" s="1">
        <v>24</v>
      </c>
      <c r="AE191" s="1">
        <f t="shared" si="49"/>
        <v>0</v>
      </c>
      <c r="AF191" s="1">
        <f t="shared" si="50"/>
        <v>0</v>
      </c>
      <c r="AG191" s="1">
        <f t="shared" si="51"/>
        <v>353</v>
      </c>
      <c r="AH191" s="1">
        <f t="shared" si="52"/>
        <v>0</v>
      </c>
      <c r="AI191" s="1">
        <f t="shared" si="53"/>
        <v>0</v>
      </c>
      <c r="AJ191" s="3">
        <f t="shared" si="54"/>
        <v>0.96448087431693985</v>
      </c>
      <c r="AK191" s="3">
        <f t="shared" si="55"/>
        <v>0.88947772940234349</v>
      </c>
      <c r="AL191" s="3">
        <f t="shared" si="56"/>
        <v>21.347465505656245</v>
      </c>
      <c r="AM191" s="3">
        <f t="shared" si="57"/>
        <v>53.368663764140614</v>
      </c>
      <c r="AN191" s="3">
        <f t="shared" si="58"/>
        <v>26.684331882070307</v>
      </c>
      <c r="AO191" s="3">
        <f t="shared" si="59"/>
        <v>80.052995646210917</v>
      </c>
      <c r="AP191" s="1" t="str">
        <f>INDEX({"EAD";"EAD";"EAD";"EAD MOOC";"EAD";"EAD";"EAD FP";"EAD";"PRESENCIAL";"PRESENCIAL";"PRESENCIAL";"PRESENCIAL"}, MATCH(CONCATENATE(E191, ".", F191),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92" spans="1:42" x14ac:dyDescent="0.25">
      <c r="A192" s="1" t="s">
        <v>27</v>
      </c>
      <c r="B192" s="1" t="s">
        <v>37</v>
      </c>
      <c r="C192" s="1" t="s">
        <v>29</v>
      </c>
      <c r="D192" s="1" t="s">
        <v>38</v>
      </c>
      <c r="E192" s="1" t="s">
        <v>120</v>
      </c>
      <c r="F192" s="1" t="s">
        <v>21</v>
      </c>
      <c r="G192" s="1" t="s">
        <v>140</v>
      </c>
      <c r="H192" s="1" t="s">
        <v>332</v>
      </c>
      <c r="I192" s="1" t="s">
        <v>124</v>
      </c>
      <c r="J192" s="1" t="s">
        <v>125</v>
      </c>
      <c r="K192" s="1" t="s">
        <v>109</v>
      </c>
      <c r="L192" s="1">
        <v>2677654</v>
      </c>
      <c r="M192" s="1" t="s">
        <v>365</v>
      </c>
      <c r="N192" s="5">
        <f>DATE(2020,2,3)</f>
        <v>43864</v>
      </c>
      <c r="O192" s="5">
        <f>DATE(2022,7,31)</f>
        <v>44773</v>
      </c>
      <c r="P192" s="5">
        <f t="shared" si="40"/>
        <v>45868</v>
      </c>
      <c r="Q192" s="1">
        <v>1980</v>
      </c>
      <c r="R192" s="1">
        <v>1600</v>
      </c>
      <c r="S192" s="1">
        <f t="shared" si="41"/>
        <v>1600</v>
      </c>
      <c r="T192" s="1">
        <v>1</v>
      </c>
      <c r="U192" s="1" t="str">
        <f t="shared" si="42"/>
        <v>SIM</v>
      </c>
      <c r="V192" s="1">
        <f t="shared" si="43"/>
        <v>910</v>
      </c>
      <c r="W192" s="4">
        <f t="shared" si="44"/>
        <v>1.7582417582417582</v>
      </c>
      <c r="X192" s="4">
        <f t="shared" si="45"/>
        <v>641.75824175824175</v>
      </c>
      <c r="Y192" s="4">
        <f t="shared" si="46"/>
        <v>0.80219780219780223</v>
      </c>
      <c r="AB192" s="5">
        <f t="shared" si="47"/>
        <v>45292</v>
      </c>
      <c r="AC192" s="5">
        <f t="shared" si="48"/>
        <v>45657</v>
      </c>
      <c r="AD192" s="1">
        <v>7</v>
      </c>
      <c r="AE192" s="1">
        <f t="shared" si="49"/>
        <v>0</v>
      </c>
      <c r="AF192" s="1">
        <f t="shared" si="50"/>
        <v>0</v>
      </c>
      <c r="AG192" s="1">
        <f t="shared" si="51"/>
        <v>0</v>
      </c>
      <c r="AH192" s="1">
        <f t="shared" si="52"/>
        <v>0</v>
      </c>
      <c r="AI192" s="1">
        <f t="shared" si="53"/>
        <v>183</v>
      </c>
      <c r="AJ192" s="3">
        <f t="shared" si="54"/>
        <v>0.5</v>
      </c>
      <c r="AK192" s="3">
        <f t="shared" si="55"/>
        <v>0.40109890109890112</v>
      </c>
      <c r="AL192" s="3">
        <f t="shared" si="56"/>
        <v>1.403846153846154</v>
      </c>
      <c r="AM192" s="3">
        <f t="shared" si="57"/>
        <v>1.403846153846154</v>
      </c>
      <c r="AN192" s="3">
        <f t="shared" si="58"/>
        <v>0</v>
      </c>
      <c r="AO192" s="3">
        <f t="shared" si="59"/>
        <v>1.403846153846154</v>
      </c>
      <c r="AP192" s="1" t="str">
        <f>INDEX({"EAD";"EAD";"EAD";"EAD MOOC";"EAD";"EAD";"EAD FP";"EAD";"PRESENCIAL";"PRESENCIAL";"PRESENCIAL";"PRESENCIAL"}, MATCH(CONCATENATE(E192, ".", F192),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93" spans="1:42" x14ac:dyDescent="0.25">
      <c r="A193" s="1" t="s">
        <v>27</v>
      </c>
      <c r="B193" s="1" t="s">
        <v>37</v>
      </c>
      <c r="C193" s="1" t="s">
        <v>29</v>
      </c>
      <c r="D193" s="1" t="s">
        <v>38</v>
      </c>
      <c r="E193" s="1" t="s">
        <v>120</v>
      </c>
      <c r="F193" s="1" t="s">
        <v>21</v>
      </c>
      <c r="G193" s="1" t="s">
        <v>140</v>
      </c>
      <c r="H193" s="1" t="s">
        <v>325</v>
      </c>
      <c r="I193" s="1" t="s">
        <v>228</v>
      </c>
      <c r="J193" s="1" t="s">
        <v>108</v>
      </c>
      <c r="K193" s="1" t="s">
        <v>109</v>
      </c>
      <c r="L193" s="1">
        <v>2677655</v>
      </c>
      <c r="M193" s="1" t="s">
        <v>366</v>
      </c>
      <c r="N193" s="5">
        <f>DATE(2020,2,3)</f>
        <v>43864</v>
      </c>
      <c r="O193" s="5">
        <f>DATE(2022,12,18)</f>
        <v>44913</v>
      </c>
      <c r="P193" s="5">
        <f t="shared" si="40"/>
        <v>46008</v>
      </c>
      <c r="Q193" s="1">
        <v>2868</v>
      </c>
      <c r="R193" s="1">
        <v>2400</v>
      </c>
      <c r="S193" s="1">
        <f t="shared" si="41"/>
        <v>2400</v>
      </c>
      <c r="T193" s="1">
        <v>2.5</v>
      </c>
      <c r="U193" s="1" t="str">
        <f t="shared" si="42"/>
        <v>SIM</v>
      </c>
      <c r="V193" s="1">
        <f t="shared" si="43"/>
        <v>1050</v>
      </c>
      <c r="W193" s="4">
        <f t="shared" si="44"/>
        <v>2.2857142857142856</v>
      </c>
      <c r="X193" s="4">
        <f t="shared" si="45"/>
        <v>834.28571428571422</v>
      </c>
      <c r="Y193" s="4">
        <f t="shared" si="46"/>
        <v>1.0428571428571427</v>
      </c>
      <c r="AB193" s="5">
        <f t="shared" si="47"/>
        <v>45292</v>
      </c>
      <c r="AC193" s="5">
        <f t="shared" si="48"/>
        <v>45657</v>
      </c>
      <c r="AD193" s="1">
        <v>2</v>
      </c>
      <c r="AE193" s="1">
        <f t="shared" si="49"/>
        <v>0</v>
      </c>
      <c r="AF193" s="1">
        <f t="shared" si="50"/>
        <v>0</v>
      </c>
      <c r="AG193" s="1">
        <f t="shared" si="51"/>
        <v>0</v>
      </c>
      <c r="AH193" s="1">
        <f t="shared" si="52"/>
        <v>0</v>
      </c>
      <c r="AI193" s="1">
        <f t="shared" si="53"/>
        <v>183</v>
      </c>
      <c r="AJ193" s="3">
        <f t="shared" si="54"/>
        <v>0.5</v>
      </c>
      <c r="AK193" s="3">
        <f t="shared" si="55"/>
        <v>0.52142857142857135</v>
      </c>
      <c r="AL193" s="3">
        <f t="shared" si="56"/>
        <v>0.52142857142857135</v>
      </c>
      <c r="AM193" s="3">
        <f t="shared" si="57"/>
        <v>1.3035714285714284</v>
      </c>
      <c r="AN193" s="3">
        <f t="shared" si="58"/>
        <v>0.65178571428571419</v>
      </c>
      <c r="AO193" s="3">
        <f t="shared" si="59"/>
        <v>1.9553571428571426</v>
      </c>
      <c r="AP193" s="1" t="str">
        <f>INDEX({"EAD";"EAD";"EAD";"EAD MOOC";"EAD";"EAD";"EAD FP";"EAD";"PRESENCIAL";"PRESENCIAL";"PRESENCIAL";"PRESENCIAL"}, MATCH(CONCATENATE(E193, ".", F193),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94" spans="1:42" x14ac:dyDescent="0.25">
      <c r="A194" s="1" t="s">
        <v>27</v>
      </c>
      <c r="B194" s="1" t="s">
        <v>37</v>
      </c>
      <c r="C194" s="1" t="s">
        <v>29</v>
      </c>
      <c r="D194" s="1" t="s">
        <v>38</v>
      </c>
      <c r="E194" s="1" t="s">
        <v>120</v>
      </c>
      <c r="F194" s="1" t="s">
        <v>21</v>
      </c>
      <c r="G194" s="1" t="s">
        <v>128</v>
      </c>
      <c r="H194" s="1" t="s">
        <v>343</v>
      </c>
      <c r="I194" s="1" t="s">
        <v>209</v>
      </c>
      <c r="J194" s="1" t="s">
        <v>125</v>
      </c>
      <c r="K194" s="1" t="s">
        <v>130</v>
      </c>
      <c r="L194" s="1">
        <v>2677657</v>
      </c>
      <c r="M194" s="1" t="s">
        <v>367</v>
      </c>
      <c r="N194" s="5">
        <f>DATE(2020,2,3)</f>
        <v>43864</v>
      </c>
      <c r="O194" s="5">
        <f>DATE(2022,12,18)</f>
        <v>44913</v>
      </c>
      <c r="P194" s="5">
        <f t="shared" si="40"/>
        <v>46008</v>
      </c>
      <c r="Q194" s="1">
        <v>4176</v>
      </c>
      <c r="R194" s="1">
        <v>1000</v>
      </c>
      <c r="S194" s="1">
        <f t="shared" si="41"/>
        <v>3100</v>
      </c>
      <c r="T194" s="1">
        <v>1.5</v>
      </c>
      <c r="U194" s="1" t="str">
        <f t="shared" si="42"/>
        <v>SIM</v>
      </c>
      <c r="V194" s="1">
        <f t="shared" si="43"/>
        <v>1050</v>
      </c>
      <c r="W194" s="4">
        <f t="shared" si="44"/>
        <v>2.9523809523809526</v>
      </c>
      <c r="X194" s="4">
        <f t="shared" si="45"/>
        <v>1077.6190476190477</v>
      </c>
      <c r="Y194" s="4">
        <f t="shared" si="46"/>
        <v>1.3470238095238096</v>
      </c>
      <c r="AB194" s="5">
        <f t="shared" si="47"/>
        <v>45292</v>
      </c>
      <c r="AC194" s="5">
        <f t="shared" si="48"/>
        <v>45657</v>
      </c>
      <c r="AD194" s="1">
        <v>7</v>
      </c>
      <c r="AE194" s="1">
        <f t="shared" si="49"/>
        <v>0</v>
      </c>
      <c r="AF194" s="1">
        <f t="shared" si="50"/>
        <v>0</v>
      </c>
      <c r="AG194" s="1">
        <f t="shared" si="51"/>
        <v>0</v>
      </c>
      <c r="AH194" s="1">
        <f t="shared" si="52"/>
        <v>0</v>
      </c>
      <c r="AI194" s="1">
        <f t="shared" si="53"/>
        <v>183</v>
      </c>
      <c r="AJ194" s="3">
        <f t="shared" si="54"/>
        <v>0.5</v>
      </c>
      <c r="AK194" s="3">
        <f t="shared" si="55"/>
        <v>0.67351190476190481</v>
      </c>
      <c r="AL194" s="3">
        <f t="shared" si="56"/>
        <v>2.3572916666666668</v>
      </c>
      <c r="AM194" s="3">
        <f t="shared" si="57"/>
        <v>3.5359375000000002</v>
      </c>
      <c r="AN194" s="3">
        <f t="shared" si="58"/>
        <v>0</v>
      </c>
      <c r="AO194" s="3">
        <f t="shared" si="59"/>
        <v>3.5359375000000002</v>
      </c>
      <c r="AP194" s="1" t="str">
        <f>INDEX({"EAD";"EAD";"EAD";"EAD MOOC";"EAD";"EAD";"EAD FP";"EAD";"PRESENCIAL";"PRESENCIAL";"PRESENCIAL";"PRESENCIAL"}, MATCH(CONCATENATE(E194, ".", F194),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95" spans="1:42" x14ac:dyDescent="0.25">
      <c r="A195" s="1" t="s">
        <v>27</v>
      </c>
      <c r="B195" s="1" t="s">
        <v>37</v>
      </c>
      <c r="C195" s="1" t="s">
        <v>29</v>
      </c>
      <c r="D195" s="1" t="s">
        <v>38</v>
      </c>
      <c r="E195" s="1" t="s">
        <v>120</v>
      </c>
      <c r="F195" s="1" t="s">
        <v>21</v>
      </c>
      <c r="G195" s="1" t="s">
        <v>128</v>
      </c>
      <c r="H195" s="1" t="s">
        <v>132</v>
      </c>
      <c r="I195" s="1" t="s">
        <v>107</v>
      </c>
      <c r="J195" s="1" t="s">
        <v>108</v>
      </c>
      <c r="K195" s="1" t="s">
        <v>130</v>
      </c>
      <c r="L195" s="1">
        <v>2679094</v>
      </c>
      <c r="M195" s="1" t="s">
        <v>144</v>
      </c>
      <c r="N195" s="5">
        <f>DATE(2020,2,3)</f>
        <v>43864</v>
      </c>
      <c r="O195" s="5">
        <f>DATE(2022,12,18)</f>
        <v>44913</v>
      </c>
      <c r="P195" s="5">
        <f t="shared" si="40"/>
        <v>46008</v>
      </c>
      <c r="Q195" s="1">
        <v>4278</v>
      </c>
      <c r="R195" s="1">
        <v>1200</v>
      </c>
      <c r="S195" s="1">
        <f t="shared" si="41"/>
        <v>3200</v>
      </c>
      <c r="T195" s="1">
        <v>2.5</v>
      </c>
      <c r="U195" s="1" t="str">
        <f t="shared" si="42"/>
        <v>SIM</v>
      </c>
      <c r="V195" s="1">
        <f t="shared" si="43"/>
        <v>1050</v>
      </c>
      <c r="W195" s="4">
        <f t="shared" si="44"/>
        <v>3.0476190476190474</v>
      </c>
      <c r="X195" s="4">
        <f t="shared" si="45"/>
        <v>1112.3809523809523</v>
      </c>
      <c r="Y195" s="4">
        <f t="shared" si="46"/>
        <v>1.3904761904761904</v>
      </c>
      <c r="AB195" s="5">
        <f t="shared" si="47"/>
        <v>45292</v>
      </c>
      <c r="AC195" s="5">
        <f t="shared" si="48"/>
        <v>45657</v>
      </c>
      <c r="AD195" s="1">
        <v>8</v>
      </c>
      <c r="AE195" s="1">
        <f t="shared" si="49"/>
        <v>0</v>
      </c>
      <c r="AF195" s="1">
        <f t="shared" si="50"/>
        <v>0</v>
      </c>
      <c r="AG195" s="1">
        <f t="shared" si="51"/>
        <v>0</v>
      </c>
      <c r="AH195" s="1">
        <f t="shared" si="52"/>
        <v>0</v>
      </c>
      <c r="AI195" s="1">
        <f t="shared" si="53"/>
        <v>183</v>
      </c>
      <c r="AJ195" s="3">
        <f t="shared" si="54"/>
        <v>0.5</v>
      </c>
      <c r="AK195" s="3">
        <f t="shared" si="55"/>
        <v>0.69523809523809521</v>
      </c>
      <c r="AL195" s="3">
        <f t="shared" si="56"/>
        <v>2.7809523809523808</v>
      </c>
      <c r="AM195" s="3">
        <f t="shared" si="57"/>
        <v>6.9523809523809526</v>
      </c>
      <c r="AN195" s="3">
        <f t="shared" si="58"/>
        <v>3.4761904761904763</v>
      </c>
      <c r="AO195" s="3">
        <f t="shared" si="59"/>
        <v>10.428571428571429</v>
      </c>
      <c r="AP195" s="1" t="str">
        <f>INDEX({"EAD";"EAD";"EAD";"EAD MOOC";"EAD";"EAD";"EAD FP";"EAD";"PRESENCIAL";"PRESENCIAL";"PRESENCIAL";"PRESENCIAL"}, MATCH(CONCATENATE(E195, ".", F195),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96" spans="1:42" x14ac:dyDescent="0.25">
      <c r="A196" s="1" t="s">
        <v>27</v>
      </c>
      <c r="B196" s="1" t="s">
        <v>37</v>
      </c>
      <c r="C196" s="1" t="s">
        <v>29</v>
      </c>
      <c r="D196" s="1" t="s">
        <v>38</v>
      </c>
      <c r="E196" s="1" t="s">
        <v>120</v>
      </c>
      <c r="F196" s="1" t="s">
        <v>21</v>
      </c>
      <c r="G196" s="1" t="s">
        <v>121</v>
      </c>
      <c r="H196" s="1" t="s">
        <v>322</v>
      </c>
      <c r="I196" s="1" t="s">
        <v>107</v>
      </c>
      <c r="J196" s="1" t="s">
        <v>108</v>
      </c>
      <c r="K196" s="1" t="s">
        <v>109</v>
      </c>
      <c r="L196" s="1">
        <v>2759536</v>
      </c>
      <c r="M196" s="1" t="s">
        <v>368</v>
      </c>
      <c r="N196" s="5">
        <f t="shared" ref="N196:N201" si="60">DATE(2021,4,12)</f>
        <v>44298</v>
      </c>
      <c r="O196" s="5">
        <f>DATE(2025,12,18)</f>
        <v>46009</v>
      </c>
      <c r="P196" s="5">
        <f t="shared" ref="P196:P259" si="61">IF(G196="QUALIFICACAO PROFISSIONAL (FIC)",O196,O196+1095)</f>
        <v>47104</v>
      </c>
      <c r="Q196" s="1">
        <v>4607</v>
      </c>
      <c r="R196" s="1">
        <v>3600</v>
      </c>
      <c r="S196" s="1">
        <f t="shared" ref="S196:S259" si="62">IF(OR(G196="QUALIFICACAO PROFISSIONAL (FIC)",G196="DOUTORADO"),Q196,    IF(ISNUMBER(FIND("PROEJA",K196)),2400,        IF(K196="INTEGRADO",            IF(R196=800,3000,                IF(R196=1000,3100,                    IF(R196=1200,3200,R196)                )            ),            R196        )    ))</f>
        <v>3600</v>
      </c>
      <c r="T196" s="1">
        <v>2.5</v>
      </c>
      <c r="U196" s="1" t="str">
        <f t="shared" ref="U196:U259" si="63">IF(P196&lt;AB196,"NÃO","SIM")</f>
        <v>SIM</v>
      </c>
      <c r="V196" s="1">
        <f t="shared" ref="V196:V259" si="64">O196-N196+1</f>
        <v>1712</v>
      </c>
      <c r="W196" s="4">
        <f t="shared" ref="W196:W259" si="65">IF(S196&gt;Q196,Q196,S196)/V196</f>
        <v>2.1028037383177569</v>
      </c>
      <c r="X196" s="4">
        <f t="shared" ref="X196:X259" si="66">IF(V196&gt;365,W196*365,S196)</f>
        <v>767.52336448598123</v>
      </c>
      <c r="Y196" s="4">
        <f t="shared" ref="Y196:Y259" si="67">IF(V196&gt;365,X196/800,S196/800)</f>
        <v>0.95940420560747652</v>
      </c>
      <c r="AB196" s="5">
        <f t="shared" ref="AB196:AB259" si="68">DATE(2024,1,1)</f>
        <v>45292</v>
      </c>
      <c r="AC196" s="5">
        <f t="shared" ref="AC196:AC259" si="69">DATE(2024,12,31)</f>
        <v>45657</v>
      </c>
      <c r="AD196" s="1">
        <v>24</v>
      </c>
      <c r="AE196" s="1">
        <f t="shared" ref="AE196:AE259" si="70">IF(AND(N196&lt;AB196,O196&gt;AC196),AC196-AB196+1,0)</f>
        <v>366</v>
      </c>
      <c r="AF196" s="1">
        <f t="shared" ref="AF196:AF259" si="71">IF(AND(N196&gt;=AB196,O196&gt;AC196,N196&lt;AC196),AC196-N196+1,0)</f>
        <v>0</v>
      </c>
      <c r="AG196" s="1">
        <f t="shared" ref="AG196:AG259" si="72">IF(AND(N196&lt;AB196,O196&lt;=AC196,O196&gt;=AB196),O196-AB196+1,0)</f>
        <v>0</v>
      </c>
      <c r="AH196" s="1">
        <f t="shared" ref="AH196:AH259" si="73">IF(AND(N196&gt;=AB196,O196&lt;=AC196),O196-N196+1,0)</f>
        <v>0</v>
      </c>
      <c r="AI196" s="1">
        <f t="shared" ref="AI196:AI259" si="74">IF(AND(N196&lt;AB196,O196&lt;AB196),(AC196-AB196+1)/2,0)</f>
        <v>0</v>
      </c>
      <c r="AJ196" s="3">
        <f t="shared" ref="AJ196:AJ259" si="75">SUM(AE196:AI196)/IF(V196&gt;=365,AC196-AB196+1,V196)</f>
        <v>1</v>
      </c>
      <c r="AK196" s="3">
        <f t="shared" ref="AK196:AK259" si="76">Y196*AJ196</f>
        <v>0.95940420560747652</v>
      </c>
      <c r="AL196" s="3">
        <f t="shared" ref="AL196:AL259" si="77">IF(AI196=0,AK196*AD196,IF(U196="SIM",AK196*(AD196/2),0))</f>
        <v>23.025700934579437</v>
      </c>
      <c r="AM196" s="3">
        <f t="shared" ref="AM196:AM259" si="78">AL196*T196</f>
        <v>57.56425233644859</v>
      </c>
      <c r="AN196" s="3">
        <f t="shared" ref="AN196:AN259" si="79">IF(J196="SIM",AM196*50%,0)</f>
        <v>28.782126168224295</v>
      </c>
      <c r="AO196" s="3">
        <f t="shared" ref="AO196:AO259" si="80">IF(U196="SIM",AM196+AN196,0)</f>
        <v>86.346378504672884</v>
      </c>
      <c r="AP196" s="1" t="str">
        <f>INDEX({"EAD";"EAD";"EAD";"EAD MOOC";"EAD";"EAD";"EAD FP";"EAD";"PRESENCIAL";"PRESENCIAL";"PRESENCIAL";"PRESENCIAL"}, MATCH(CONCATENATE(E196, ".", F196),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97" spans="1:42" x14ac:dyDescent="0.25">
      <c r="A197" s="1" t="s">
        <v>27</v>
      </c>
      <c r="B197" s="1" t="s">
        <v>37</v>
      </c>
      <c r="C197" s="1" t="s">
        <v>29</v>
      </c>
      <c r="D197" s="1" t="s">
        <v>38</v>
      </c>
      <c r="E197" s="1" t="s">
        <v>120</v>
      </c>
      <c r="F197" s="1" t="s">
        <v>21</v>
      </c>
      <c r="G197" s="1" t="s">
        <v>128</v>
      </c>
      <c r="H197" s="1" t="s">
        <v>343</v>
      </c>
      <c r="I197" s="1" t="s">
        <v>209</v>
      </c>
      <c r="J197" s="1" t="s">
        <v>125</v>
      </c>
      <c r="K197" s="1" t="s">
        <v>130</v>
      </c>
      <c r="L197" s="1">
        <v>2759537</v>
      </c>
      <c r="M197" s="1" t="s">
        <v>369</v>
      </c>
      <c r="N197" s="5">
        <f t="shared" si="60"/>
        <v>44298</v>
      </c>
      <c r="O197" s="5">
        <f>DATE(2023,12,18)</f>
        <v>45278</v>
      </c>
      <c r="P197" s="5">
        <f t="shared" si="61"/>
        <v>46373</v>
      </c>
      <c r="Q197" s="1">
        <v>4176</v>
      </c>
      <c r="R197" s="1">
        <v>1000</v>
      </c>
      <c r="S197" s="1">
        <f t="shared" si="62"/>
        <v>3100</v>
      </c>
      <c r="T197" s="1">
        <v>1.5</v>
      </c>
      <c r="U197" s="1" t="str">
        <f t="shared" si="63"/>
        <v>SIM</v>
      </c>
      <c r="V197" s="1">
        <f t="shared" si="64"/>
        <v>981</v>
      </c>
      <c r="W197" s="4">
        <f t="shared" si="65"/>
        <v>3.1600407747196737</v>
      </c>
      <c r="X197" s="4">
        <f t="shared" si="66"/>
        <v>1153.4148827726808</v>
      </c>
      <c r="Y197" s="4">
        <f t="shared" si="67"/>
        <v>1.441768603465851</v>
      </c>
      <c r="AB197" s="5">
        <f t="shared" si="68"/>
        <v>45292</v>
      </c>
      <c r="AC197" s="5">
        <f t="shared" si="69"/>
        <v>45657</v>
      </c>
      <c r="AD197" s="1">
        <v>7</v>
      </c>
      <c r="AE197" s="1">
        <f t="shared" si="70"/>
        <v>0</v>
      </c>
      <c r="AF197" s="1">
        <f t="shared" si="71"/>
        <v>0</v>
      </c>
      <c r="AG197" s="1">
        <f t="shared" si="72"/>
        <v>0</v>
      </c>
      <c r="AH197" s="1">
        <f t="shared" si="73"/>
        <v>0</v>
      </c>
      <c r="AI197" s="1">
        <f t="shared" si="74"/>
        <v>183</v>
      </c>
      <c r="AJ197" s="3">
        <f t="shared" si="75"/>
        <v>0.5</v>
      </c>
      <c r="AK197" s="3">
        <f t="shared" si="76"/>
        <v>0.7208843017329255</v>
      </c>
      <c r="AL197" s="3">
        <f t="shared" si="77"/>
        <v>2.5230950560652392</v>
      </c>
      <c r="AM197" s="3">
        <f t="shared" si="78"/>
        <v>3.7846425840978588</v>
      </c>
      <c r="AN197" s="3">
        <f t="shared" si="79"/>
        <v>0</v>
      </c>
      <c r="AO197" s="3">
        <f t="shared" si="80"/>
        <v>3.7846425840978588</v>
      </c>
      <c r="AP197" s="1" t="str">
        <f>INDEX({"EAD";"EAD";"EAD";"EAD MOOC";"EAD";"EAD";"EAD FP";"EAD";"PRESENCIAL";"PRESENCIAL";"PRESENCIAL";"PRESENCIAL"}, MATCH(CONCATENATE(E197, ".", F197),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98" spans="1:42" x14ac:dyDescent="0.25">
      <c r="A198" s="1" t="s">
        <v>27</v>
      </c>
      <c r="B198" s="1" t="s">
        <v>37</v>
      </c>
      <c r="C198" s="1" t="s">
        <v>29</v>
      </c>
      <c r="D198" s="1" t="s">
        <v>38</v>
      </c>
      <c r="E198" s="1" t="s">
        <v>120</v>
      </c>
      <c r="F198" s="1" t="s">
        <v>21</v>
      </c>
      <c r="G198" s="1" t="s">
        <v>278</v>
      </c>
      <c r="H198" s="1" t="s">
        <v>320</v>
      </c>
      <c r="I198" s="1" t="s">
        <v>172</v>
      </c>
      <c r="J198" s="1" t="s">
        <v>125</v>
      </c>
      <c r="K198" s="1" t="s">
        <v>109</v>
      </c>
      <c r="L198" s="1">
        <v>2761286</v>
      </c>
      <c r="M198" s="1" t="s">
        <v>370</v>
      </c>
      <c r="N198" s="5">
        <f t="shared" si="60"/>
        <v>44298</v>
      </c>
      <c r="O198" s="5">
        <f>DATE(2025,6,21)</f>
        <v>45829</v>
      </c>
      <c r="P198" s="5">
        <f t="shared" si="61"/>
        <v>46924</v>
      </c>
      <c r="Q198" s="1">
        <v>3400</v>
      </c>
      <c r="R198" s="1">
        <v>3200</v>
      </c>
      <c r="S198" s="1">
        <f t="shared" si="62"/>
        <v>3200</v>
      </c>
      <c r="T198" s="1">
        <v>2.5</v>
      </c>
      <c r="U198" s="1" t="str">
        <f t="shared" si="63"/>
        <v>SIM</v>
      </c>
      <c r="V198" s="1">
        <f t="shared" si="64"/>
        <v>1532</v>
      </c>
      <c r="W198" s="4">
        <f t="shared" si="65"/>
        <v>2.0887728459530028</v>
      </c>
      <c r="X198" s="4">
        <f t="shared" si="66"/>
        <v>762.40208877284601</v>
      </c>
      <c r="Y198" s="4">
        <f t="shared" si="67"/>
        <v>0.95300261096605754</v>
      </c>
      <c r="AB198" s="5">
        <f t="shared" si="68"/>
        <v>45292</v>
      </c>
      <c r="AC198" s="5">
        <f t="shared" si="69"/>
        <v>45657</v>
      </c>
      <c r="AD198" s="1">
        <v>6</v>
      </c>
      <c r="AE198" s="1">
        <f t="shared" si="70"/>
        <v>366</v>
      </c>
      <c r="AF198" s="1">
        <f t="shared" si="71"/>
        <v>0</v>
      </c>
      <c r="AG198" s="1">
        <f t="shared" si="72"/>
        <v>0</v>
      </c>
      <c r="AH198" s="1">
        <f t="shared" si="73"/>
        <v>0</v>
      </c>
      <c r="AI198" s="1">
        <f t="shared" si="74"/>
        <v>0</v>
      </c>
      <c r="AJ198" s="3">
        <f t="shared" si="75"/>
        <v>1</v>
      </c>
      <c r="AK198" s="3">
        <f t="shared" si="76"/>
        <v>0.95300261096605754</v>
      </c>
      <c r="AL198" s="3">
        <f t="shared" si="77"/>
        <v>5.7180156657963455</v>
      </c>
      <c r="AM198" s="3">
        <f t="shared" si="78"/>
        <v>14.295039164490863</v>
      </c>
      <c r="AN198" s="3">
        <f t="shared" si="79"/>
        <v>0</v>
      </c>
      <c r="AO198" s="3">
        <f t="shared" si="80"/>
        <v>14.295039164490863</v>
      </c>
      <c r="AP198" s="1" t="str">
        <f>INDEX({"EAD";"EAD";"EAD";"EAD MOOC";"EAD";"EAD";"EAD FP";"EAD";"PRESENCIAL";"PRESENCIAL";"PRESENCIAL";"PRESENCIAL"}, MATCH(CONCATENATE(E198, ".", F198),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99" spans="1:42" x14ac:dyDescent="0.25">
      <c r="A199" s="1" t="s">
        <v>27</v>
      </c>
      <c r="B199" s="1" t="s">
        <v>37</v>
      </c>
      <c r="C199" s="1" t="s">
        <v>29</v>
      </c>
      <c r="D199" s="1" t="s">
        <v>38</v>
      </c>
      <c r="E199" s="1" t="s">
        <v>120</v>
      </c>
      <c r="F199" s="1" t="s">
        <v>21</v>
      </c>
      <c r="G199" s="1" t="s">
        <v>140</v>
      </c>
      <c r="H199" s="1" t="s">
        <v>325</v>
      </c>
      <c r="I199" s="1" t="s">
        <v>228</v>
      </c>
      <c r="J199" s="1" t="s">
        <v>108</v>
      </c>
      <c r="K199" s="1" t="s">
        <v>109</v>
      </c>
      <c r="L199" s="1">
        <v>2761293</v>
      </c>
      <c r="M199" s="1" t="s">
        <v>371</v>
      </c>
      <c r="N199" s="5">
        <f t="shared" si="60"/>
        <v>44298</v>
      </c>
      <c r="O199" s="5">
        <f>DATE(2023,12,18)</f>
        <v>45278</v>
      </c>
      <c r="P199" s="5">
        <f t="shared" si="61"/>
        <v>46373</v>
      </c>
      <c r="Q199" s="1">
        <v>2439</v>
      </c>
      <c r="R199" s="1">
        <v>2400</v>
      </c>
      <c r="S199" s="1">
        <f t="shared" si="62"/>
        <v>2400</v>
      </c>
      <c r="T199" s="1">
        <v>2.5</v>
      </c>
      <c r="U199" s="1" t="str">
        <f t="shared" si="63"/>
        <v>SIM</v>
      </c>
      <c r="V199" s="1">
        <f t="shared" si="64"/>
        <v>981</v>
      </c>
      <c r="W199" s="4">
        <f t="shared" si="65"/>
        <v>2.4464831804281344</v>
      </c>
      <c r="X199" s="4">
        <f t="shared" si="66"/>
        <v>892.96636085626903</v>
      </c>
      <c r="Y199" s="4">
        <f t="shared" si="67"/>
        <v>1.1162079510703362</v>
      </c>
      <c r="AB199" s="5">
        <f t="shared" si="68"/>
        <v>45292</v>
      </c>
      <c r="AC199" s="5">
        <f t="shared" si="69"/>
        <v>45657</v>
      </c>
      <c r="AD199" s="1">
        <v>5</v>
      </c>
      <c r="AE199" s="1">
        <f t="shared" si="70"/>
        <v>0</v>
      </c>
      <c r="AF199" s="1">
        <f t="shared" si="71"/>
        <v>0</v>
      </c>
      <c r="AG199" s="1">
        <f t="shared" si="72"/>
        <v>0</v>
      </c>
      <c r="AH199" s="1">
        <f t="shared" si="73"/>
        <v>0</v>
      </c>
      <c r="AI199" s="1">
        <f t="shared" si="74"/>
        <v>183</v>
      </c>
      <c r="AJ199" s="3">
        <f t="shared" si="75"/>
        <v>0.5</v>
      </c>
      <c r="AK199" s="3">
        <f t="shared" si="76"/>
        <v>0.55810397553516811</v>
      </c>
      <c r="AL199" s="3">
        <f t="shared" si="77"/>
        <v>1.3952599388379203</v>
      </c>
      <c r="AM199" s="3">
        <f t="shared" si="78"/>
        <v>3.4881498470948009</v>
      </c>
      <c r="AN199" s="3">
        <f t="shared" si="79"/>
        <v>1.7440749235474005</v>
      </c>
      <c r="AO199" s="3">
        <f t="shared" si="80"/>
        <v>5.2322247706422012</v>
      </c>
      <c r="AP199" s="1" t="str">
        <f>INDEX({"EAD";"EAD";"EAD";"EAD MOOC";"EAD";"EAD";"EAD FP";"EAD";"PRESENCIAL";"PRESENCIAL";"PRESENCIAL";"PRESENCIAL"}, MATCH(CONCATENATE(E199, ".", F199),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00" spans="1:42" x14ac:dyDescent="0.25">
      <c r="A200" s="1" t="s">
        <v>27</v>
      </c>
      <c r="B200" s="1" t="s">
        <v>37</v>
      </c>
      <c r="C200" s="1" t="s">
        <v>29</v>
      </c>
      <c r="D200" s="1" t="s">
        <v>38</v>
      </c>
      <c r="E200" s="1" t="s">
        <v>120</v>
      </c>
      <c r="F200" s="1" t="s">
        <v>21</v>
      </c>
      <c r="G200" s="1" t="s">
        <v>140</v>
      </c>
      <c r="H200" s="1" t="s">
        <v>332</v>
      </c>
      <c r="I200" s="1" t="s">
        <v>124</v>
      </c>
      <c r="J200" s="1" t="s">
        <v>125</v>
      </c>
      <c r="K200" s="1" t="s">
        <v>109</v>
      </c>
      <c r="L200" s="1">
        <v>2761295</v>
      </c>
      <c r="M200" s="1" t="s">
        <v>372</v>
      </c>
      <c r="N200" s="5">
        <f t="shared" si="60"/>
        <v>44298</v>
      </c>
      <c r="O200" s="5">
        <f>DATE(2023,6,21)</f>
        <v>45098</v>
      </c>
      <c r="P200" s="5">
        <f t="shared" si="61"/>
        <v>46193</v>
      </c>
      <c r="Q200" s="1">
        <v>1980</v>
      </c>
      <c r="R200" s="1">
        <v>1600</v>
      </c>
      <c r="S200" s="1">
        <f t="shared" si="62"/>
        <v>1600</v>
      </c>
      <c r="T200" s="1">
        <v>1</v>
      </c>
      <c r="U200" s="1" t="str">
        <f t="shared" si="63"/>
        <v>SIM</v>
      </c>
      <c r="V200" s="1">
        <f t="shared" si="64"/>
        <v>801</v>
      </c>
      <c r="W200" s="4">
        <f t="shared" si="65"/>
        <v>1.9975031210986267</v>
      </c>
      <c r="X200" s="4">
        <f t="shared" si="66"/>
        <v>729.08863920099873</v>
      </c>
      <c r="Y200" s="4">
        <f t="shared" si="67"/>
        <v>0.91136079900124844</v>
      </c>
      <c r="AB200" s="5">
        <f t="shared" si="68"/>
        <v>45292</v>
      </c>
      <c r="AC200" s="5">
        <f t="shared" si="69"/>
        <v>45657</v>
      </c>
      <c r="AD200" s="1">
        <v>9</v>
      </c>
      <c r="AE200" s="1">
        <f t="shared" si="70"/>
        <v>0</v>
      </c>
      <c r="AF200" s="1">
        <f t="shared" si="71"/>
        <v>0</v>
      </c>
      <c r="AG200" s="1">
        <f t="shared" si="72"/>
        <v>0</v>
      </c>
      <c r="AH200" s="1">
        <f t="shared" si="73"/>
        <v>0</v>
      </c>
      <c r="AI200" s="1">
        <f t="shared" si="74"/>
        <v>183</v>
      </c>
      <c r="AJ200" s="3">
        <f t="shared" si="75"/>
        <v>0.5</v>
      </c>
      <c r="AK200" s="3">
        <f t="shared" si="76"/>
        <v>0.45568039950062422</v>
      </c>
      <c r="AL200" s="3">
        <f t="shared" si="77"/>
        <v>2.0505617977528088</v>
      </c>
      <c r="AM200" s="3">
        <f t="shared" si="78"/>
        <v>2.0505617977528088</v>
      </c>
      <c r="AN200" s="3">
        <f t="shared" si="79"/>
        <v>0</v>
      </c>
      <c r="AO200" s="3">
        <f t="shared" si="80"/>
        <v>2.0505617977528088</v>
      </c>
      <c r="AP200" s="1" t="str">
        <f>INDEX({"EAD";"EAD";"EAD";"EAD MOOC";"EAD";"EAD";"EAD FP";"EAD";"PRESENCIAL";"PRESENCIAL";"PRESENCIAL";"PRESENCIAL"}, MATCH(CONCATENATE(E200, ".", F200),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01" spans="1:42" x14ac:dyDescent="0.25">
      <c r="A201" s="1" t="s">
        <v>27</v>
      </c>
      <c r="B201" s="1" t="s">
        <v>37</v>
      </c>
      <c r="C201" s="1" t="s">
        <v>29</v>
      </c>
      <c r="D201" s="1" t="s">
        <v>38</v>
      </c>
      <c r="E201" s="1" t="s">
        <v>120</v>
      </c>
      <c r="F201" s="1" t="s">
        <v>21</v>
      </c>
      <c r="G201" s="1" t="s">
        <v>128</v>
      </c>
      <c r="H201" s="1" t="s">
        <v>132</v>
      </c>
      <c r="I201" s="1" t="s">
        <v>107</v>
      </c>
      <c r="J201" s="1" t="s">
        <v>108</v>
      </c>
      <c r="K201" s="1" t="s">
        <v>130</v>
      </c>
      <c r="L201" s="1">
        <v>2761299</v>
      </c>
      <c r="M201" s="1" t="s">
        <v>373</v>
      </c>
      <c r="N201" s="5">
        <f t="shared" si="60"/>
        <v>44298</v>
      </c>
      <c r="O201" s="5">
        <f>DATE(2023,12,18)</f>
        <v>45278</v>
      </c>
      <c r="P201" s="5">
        <f t="shared" si="61"/>
        <v>46373</v>
      </c>
      <c r="Q201" s="1">
        <v>4278</v>
      </c>
      <c r="R201" s="1">
        <v>1200</v>
      </c>
      <c r="S201" s="1">
        <f t="shared" si="62"/>
        <v>3200</v>
      </c>
      <c r="T201" s="1">
        <v>2.5</v>
      </c>
      <c r="U201" s="1" t="str">
        <f t="shared" si="63"/>
        <v>SIM</v>
      </c>
      <c r="V201" s="1">
        <f t="shared" si="64"/>
        <v>981</v>
      </c>
      <c r="W201" s="4">
        <f t="shared" si="65"/>
        <v>3.2619775739041792</v>
      </c>
      <c r="X201" s="4">
        <f t="shared" si="66"/>
        <v>1190.6218144750253</v>
      </c>
      <c r="Y201" s="4">
        <f t="shared" si="67"/>
        <v>1.4882772680937817</v>
      </c>
      <c r="AB201" s="5">
        <f t="shared" si="68"/>
        <v>45292</v>
      </c>
      <c r="AC201" s="5">
        <f t="shared" si="69"/>
        <v>45657</v>
      </c>
      <c r="AD201" s="1">
        <v>14</v>
      </c>
      <c r="AE201" s="1">
        <f t="shared" si="70"/>
        <v>0</v>
      </c>
      <c r="AF201" s="1">
        <f t="shared" si="71"/>
        <v>0</v>
      </c>
      <c r="AG201" s="1">
        <f t="shared" si="72"/>
        <v>0</v>
      </c>
      <c r="AH201" s="1">
        <f t="shared" si="73"/>
        <v>0</v>
      </c>
      <c r="AI201" s="1">
        <f t="shared" si="74"/>
        <v>183</v>
      </c>
      <c r="AJ201" s="3">
        <f t="shared" si="75"/>
        <v>0.5</v>
      </c>
      <c r="AK201" s="3">
        <f t="shared" si="76"/>
        <v>0.74413863404689085</v>
      </c>
      <c r="AL201" s="3">
        <f t="shared" si="77"/>
        <v>5.2089704383282358</v>
      </c>
      <c r="AM201" s="3">
        <f t="shared" si="78"/>
        <v>13.02242609582059</v>
      </c>
      <c r="AN201" s="3">
        <f t="shared" si="79"/>
        <v>6.511213047910295</v>
      </c>
      <c r="AO201" s="3">
        <f t="shared" si="80"/>
        <v>19.533639143730884</v>
      </c>
      <c r="AP201" s="1" t="str">
        <f>INDEX({"EAD";"EAD";"EAD";"EAD MOOC";"EAD";"EAD";"EAD FP";"EAD";"PRESENCIAL";"PRESENCIAL";"PRESENCIAL";"PRESENCIAL"}, MATCH(CONCATENATE(E201, ".", F201),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02" spans="1:42" x14ac:dyDescent="0.25">
      <c r="A202" s="1" t="s">
        <v>27</v>
      </c>
      <c r="B202" s="1" t="s">
        <v>37</v>
      </c>
      <c r="C202" s="1" t="s">
        <v>29</v>
      </c>
      <c r="D202" s="1" t="s">
        <v>38</v>
      </c>
      <c r="E202" s="1" t="s">
        <v>120</v>
      </c>
      <c r="F202" s="1" t="s">
        <v>21</v>
      </c>
      <c r="G202" s="1" t="s">
        <v>121</v>
      </c>
      <c r="H202" s="1" t="s">
        <v>322</v>
      </c>
      <c r="I202" s="1" t="s">
        <v>107</v>
      </c>
      <c r="J202" s="1" t="s">
        <v>108</v>
      </c>
      <c r="K202" s="1" t="s">
        <v>109</v>
      </c>
      <c r="L202" s="1">
        <v>2908418</v>
      </c>
      <c r="M202" s="1" t="s">
        <v>374</v>
      </c>
      <c r="N202" s="5">
        <f>DATE(2021,9,1)</f>
        <v>44440</v>
      </c>
      <c r="O202" s="5">
        <f>DATE(2026,9,30)</f>
        <v>46295</v>
      </c>
      <c r="P202" s="5">
        <f t="shared" si="61"/>
        <v>47390</v>
      </c>
      <c r="Q202" s="1">
        <v>4607</v>
      </c>
      <c r="R202" s="1">
        <v>3600</v>
      </c>
      <c r="S202" s="1">
        <f t="shared" si="62"/>
        <v>3600</v>
      </c>
      <c r="T202" s="1">
        <v>2.5</v>
      </c>
      <c r="U202" s="1" t="str">
        <f t="shared" si="63"/>
        <v>SIM</v>
      </c>
      <c r="V202" s="1">
        <f t="shared" si="64"/>
        <v>1856</v>
      </c>
      <c r="W202" s="4">
        <f t="shared" si="65"/>
        <v>1.9396551724137931</v>
      </c>
      <c r="X202" s="4">
        <f t="shared" si="66"/>
        <v>707.97413793103453</v>
      </c>
      <c r="Y202" s="4">
        <f t="shared" si="67"/>
        <v>0.88496767241379315</v>
      </c>
      <c r="AB202" s="5">
        <f t="shared" si="68"/>
        <v>45292</v>
      </c>
      <c r="AC202" s="5">
        <f t="shared" si="69"/>
        <v>45657</v>
      </c>
      <c r="AD202" s="1">
        <v>22</v>
      </c>
      <c r="AE202" s="1">
        <f t="shared" si="70"/>
        <v>366</v>
      </c>
      <c r="AF202" s="1">
        <f t="shared" si="71"/>
        <v>0</v>
      </c>
      <c r="AG202" s="1">
        <f t="shared" si="72"/>
        <v>0</v>
      </c>
      <c r="AH202" s="1">
        <f t="shared" si="73"/>
        <v>0</v>
      </c>
      <c r="AI202" s="1">
        <f t="shared" si="74"/>
        <v>0</v>
      </c>
      <c r="AJ202" s="3">
        <f t="shared" si="75"/>
        <v>1</v>
      </c>
      <c r="AK202" s="3">
        <f t="shared" si="76"/>
        <v>0.88496767241379315</v>
      </c>
      <c r="AL202" s="3">
        <f t="shared" si="77"/>
        <v>19.469288793103448</v>
      </c>
      <c r="AM202" s="3">
        <f t="shared" si="78"/>
        <v>48.673221982758619</v>
      </c>
      <c r="AN202" s="3">
        <f t="shared" si="79"/>
        <v>24.33661099137931</v>
      </c>
      <c r="AO202" s="3">
        <f t="shared" si="80"/>
        <v>73.009832974137936</v>
      </c>
      <c r="AP202" s="1" t="str">
        <f>INDEX({"EAD";"EAD";"EAD";"EAD MOOC";"EAD";"EAD";"EAD FP";"EAD";"PRESENCIAL";"PRESENCIAL";"PRESENCIAL";"PRESENCIAL"}, MATCH(CONCATENATE(E202, ".", F202),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03" spans="1:42" x14ac:dyDescent="0.25">
      <c r="A203" s="1" t="s">
        <v>27</v>
      </c>
      <c r="B203" s="1" t="s">
        <v>37</v>
      </c>
      <c r="C203" s="1" t="s">
        <v>29</v>
      </c>
      <c r="D203" s="1" t="s">
        <v>38</v>
      </c>
      <c r="E203" s="1" t="s">
        <v>120</v>
      </c>
      <c r="F203" s="1" t="s">
        <v>21</v>
      </c>
      <c r="G203" s="1" t="s">
        <v>128</v>
      </c>
      <c r="H203" s="1" t="s">
        <v>132</v>
      </c>
      <c r="I203" s="1" t="s">
        <v>107</v>
      </c>
      <c r="J203" s="1" t="s">
        <v>108</v>
      </c>
      <c r="K203" s="1" t="s">
        <v>130</v>
      </c>
      <c r="L203" s="1">
        <v>2840529</v>
      </c>
      <c r="M203" s="1" t="s">
        <v>375</v>
      </c>
      <c r="N203" s="5">
        <f>DATE(2022,3,7)</f>
        <v>44627</v>
      </c>
      <c r="O203" s="5">
        <f>DATE(2024,12,20)</f>
        <v>45646</v>
      </c>
      <c r="P203" s="5">
        <f t="shared" si="61"/>
        <v>46741</v>
      </c>
      <c r="Q203" s="1">
        <v>4278</v>
      </c>
      <c r="R203" s="1">
        <v>1200</v>
      </c>
      <c r="S203" s="1">
        <f t="shared" si="62"/>
        <v>3200</v>
      </c>
      <c r="T203" s="1">
        <v>2.5</v>
      </c>
      <c r="U203" s="1" t="str">
        <f t="shared" si="63"/>
        <v>SIM</v>
      </c>
      <c r="V203" s="1">
        <f t="shared" si="64"/>
        <v>1020</v>
      </c>
      <c r="W203" s="4">
        <f t="shared" si="65"/>
        <v>3.1372549019607843</v>
      </c>
      <c r="X203" s="4">
        <f t="shared" si="66"/>
        <v>1145.0980392156862</v>
      </c>
      <c r="Y203" s="4">
        <f t="shared" si="67"/>
        <v>1.4313725490196076</v>
      </c>
      <c r="AB203" s="5">
        <f t="shared" si="68"/>
        <v>45292</v>
      </c>
      <c r="AC203" s="5">
        <f t="shared" si="69"/>
        <v>45657</v>
      </c>
      <c r="AD203" s="1">
        <v>87</v>
      </c>
      <c r="AE203" s="1">
        <f t="shared" si="70"/>
        <v>0</v>
      </c>
      <c r="AF203" s="1">
        <f t="shared" si="71"/>
        <v>0</v>
      </c>
      <c r="AG203" s="1">
        <f t="shared" si="72"/>
        <v>355</v>
      </c>
      <c r="AH203" s="1">
        <f t="shared" si="73"/>
        <v>0</v>
      </c>
      <c r="AI203" s="1">
        <f t="shared" si="74"/>
        <v>0</v>
      </c>
      <c r="AJ203" s="3">
        <f t="shared" si="75"/>
        <v>0.9699453551912568</v>
      </c>
      <c r="AK203" s="3">
        <f t="shared" si="76"/>
        <v>1.3883531554698381</v>
      </c>
      <c r="AL203" s="3">
        <f t="shared" si="77"/>
        <v>120.78672452587591</v>
      </c>
      <c r="AM203" s="3">
        <f t="shared" si="78"/>
        <v>301.96681131468978</v>
      </c>
      <c r="AN203" s="3">
        <f t="shared" si="79"/>
        <v>150.98340565734489</v>
      </c>
      <c r="AO203" s="3">
        <f t="shared" si="80"/>
        <v>452.9502169720347</v>
      </c>
      <c r="AP203" s="1" t="str">
        <f>INDEX({"EAD";"EAD";"EAD";"EAD MOOC";"EAD";"EAD";"EAD FP";"EAD";"PRESENCIAL";"PRESENCIAL";"PRESENCIAL";"PRESENCIAL"}, MATCH(CONCATENATE(E203, ".", F203),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04" spans="1:42" x14ac:dyDescent="0.25">
      <c r="A204" s="1" t="s">
        <v>27</v>
      </c>
      <c r="B204" s="1" t="s">
        <v>37</v>
      </c>
      <c r="C204" s="1" t="s">
        <v>29</v>
      </c>
      <c r="D204" s="1" t="s">
        <v>38</v>
      </c>
      <c r="E204" s="1" t="s">
        <v>120</v>
      </c>
      <c r="F204" s="1" t="s">
        <v>21</v>
      </c>
      <c r="G204" s="1" t="s">
        <v>128</v>
      </c>
      <c r="H204" s="1" t="s">
        <v>343</v>
      </c>
      <c r="I204" s="1" t="s">
        <v>209</v>
      </c>
      <c r="J204" s="1" t="s">
        <v>125</v>
      </c>
      <c r="K204" s="1" t="s">
        <v>130</v>
      </c>
      <c r="L204" s="1">
        <v>2840541</v>
      </c>
      <c r="M204" s="1" t="s">
        <v>376</v>
      </c>
      <c r="N204" s="5">
        <f>DATE(2022,3,7)</f>
        <v>44627</v>
      </c>
      <c r="O204" s="5">
        <f>DATE(2024,12,20)</f>
        <v>45646</v>
      </c>
      <c r="P204" s="5">
        <f t="shared" si="61"/>
        <v>46741</v>
      </c>
      <c r="Q204" s="1">
        <v>4176</v>
      </c>
      <c r="R204" s="1">
        <v>1000</v>
      </c>
      <c r="S204" s="1">
        <f t="shared" si="62"/>
        <v>3100</v>
      </c>
      <c r="T204" s="1">
        <v>1.5</v>
      </c>
      <c r="U204" s="1" t="str">
        <f t="shared" si="63"/>
        <v>SIM</v>
      </c>
      <c r="V204" s="1">
        <f t="shared" si="64"/>
        <v>1020</v>
      </c>
      <c r="W204" s="4">
        <f t="shared" si="65"/>
        <v>3.0392156862745097</v>
      </c>
      <c r="X204" s="4">
        <f t="shared" si="66"/>
        <v>1109.313725490196</v>
      </c>
      <c r="Y204" s="4">
        <f t="shared" si="67"/>
        <v>1.3866421568627449</v>
      </c>
      <c r="AB204" s="5">
        <f t="shared" si="68"/>
        <v>45292</v>
      </c>
      <c r="AC204" s="5">
        <f t="shared" si="69"/>
        <v>45657</v>
      </c>
      <c r="AD204" s="1">
        <v>29</v>
      </c>
      <c r="AE204" s="1">
        <f t="shared" si="70"/>
        <v>0</v>
      </c>
      <c r="AF204" s="1">
        <f t="shared" si="71"/>
        <v>0</v>
      </c>
      <c r="AG204" s="1">
        <f t="shared" si="72"/>
        <v>355</v>
      </c>
      <c r="AH204" s="1">
        <f t="shared" si="73"/>
        <v>0</v>
      </c>
      <c r="AI204" s="1">
        <f t="shared" si="74"/>
        <v>0</v>
      </c>
      <c r="AJ204" s="3">
        <f t="shared" si="75"/>
        <v>0.9699453551912568</v>
      </c>
      <c r="AK204" s="3">
        <f t="shared" si="76"/>
        <v>1.3449671193614057</v>
      </c>
      <c r="AL204" s="3">
        <f t="shared" si="77"/>
        <v>39.004046461480762</v>
      </c>
      <c r="AM204" s="3">
        <f t="shared" si="78"/>
        <v>58.506069692221146</v>
      </c>
      <c r="AN204" s="3">
        <f t="shared" si="79"/>
        <v>0</v>
      </c>
      <c r="AO204" s="3">
        <f t="shared" si="80"/>
        <v>58.506069692221146</v>
      </c>
      <c r="AP204" s="1" t="str">
        <f>INDEX({"EAD";"EAD";"EAD";"EAD MOOC";"EAD";"EAD";"EAD FP";"EAD";"PRESENCIAL";"PRESENCIAL";"PRESENCIAL";"PRESENCIAL"}, MATCH(CONCATENATE(E204, ".", F204),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05" spans="1:42" x14ac:dyDescent="0.25">
      <c r="A205" s="1" t="s">
        <v>27</v>
      </c>
      <c r="B205" s="1" t="s">
        <v>37</v>
      </c>
      <c r="C205" s="1" t="s">
        <v>29</v>
      </c>
      <c r="D205" s="1" t="s">
        <v>38</v>
      </c>
      <c r="E205" s="1" t="s">
        <v>120</v>
      </c>
      <c r="F205" s="1" t="s">
        <v>21</v>
      </c>
      <c r="G205" s="1" t="s">
        <v>140</v>
      </c>
      <c r="H205" s="1" t="s">
        <v>325</v>
      </c>
      <c r="I205" s="1" t="s">
        <v>228</v>
      </c>
      <c r="J205" s="1" t="s">
        <v>108</v>
      </c>
      <c r="K205" s="1" t="s">
        <v>109</v>
      </c>
      <c r="L205" s="1">
        <v>2841365</v>
      </c>
      <c r="M205" s="1" t="s">
        <v>377</v>
      </c>
      <c r="N205" s="5">
        <f>DATE(2022,3,7)</f>
        <v>44627</v>
      </c>
      <c r="O205" s="5">
        <f>DATE(2024,12,20)</f>
        <v>45646</v>
      </c>
      <c r="P205" s="5">
        <f t="shared" si="61"/>
        <v>46741</v>
      </c>
      <c r="Q205" s="1">
        <v>2439</v>
      </c>
      <c r="R205" s="1">
        <v>2400</v>
      </c>
      <c r="S205" s="1">
        <f t="shared" si="62"/>
        <v>2400</v>
      </c>
      <c r="T205" s="1">
        <v>2.5</v>
      </c>
      <c r="U205" s="1" t="str">
        <f t="shared" si="63"/>
        <v>SIM</v>
      </c>
      <c r="V205" s="1">
        <f t="shared" si="64"/>
        <v>1020</v>
      </c>
      <c r="W205" s="4">
        <f t="shared" si="65"/>
        <v>2.3529411764705883</v>
      </c>
      <c r="X205" s="4">
        <f t="shared" si="66"/>
        <v>858.82352941176475</v>
      </c>
      <c r="Y205" s="4">
        <f t="shared" si="67"/>
        <v>1.0735294117647058</v>
      </c>
      <c r="AB205" s="5">
        <f t="shared" si="68"/>
        <v>45292</v>
      </c>
      <c r="AC205" s="5">
        <f t="shared" si="69"/>
        <v>45657</v>
      </c>
      <c r="AD205" s="1">
        <v>27</v>
      </c>
      <c r="AE205" s="1">
        <f t="shared" si="70"/>
        <v>0</v>
      </c>
      <c r="AF205" s="1">
        <f t="shared" si="71"/>
        <v>0</v>
      </c>
      <c r="AG205" s="1">
        <f t="shared" si="72"/>
        <v>355</v>
      </c>
      <c r="AH205" s="1">
        <f t="shared" si="73"/>
        <v>0</v>
      </c>
      <c r="AI205" s="1">
        <f t="shared" si="74"/>
        <v>0</v>
      </c>
      <c r="AJ205" s="3">
        <f t="shared" si="75"/>
        <v>0.9699453551912568</v>
      </c>
      <c r="AK205" s="3">
        <f t="shared" si="76"/>
        <v>1.0412648666023785</v>
      </c>
      <c r="AL205" s="3">
        <f t="shared" si="77"/>
        <v>28.114151398264219</v>
      </c>
      <c r="AM205" s="3">
        <f t="shared" si="78"/>
        <v>70.285378495660552</v>
      </c>
      <c r="AN205" s="3">
        <f t="shared" si="79"/>
        <v>35.142689247830276</v>
      </c>
      <c r="AO205" s="3">
        <f t="shared" si="80"/>
        <v>105.42806774349083</v>
      </c>
      <c r="AP205" s="1" t="str">
        <f>INDEX({"EAD";"EAD";"EAD";"EAD MOOC";"EAD";"EAD";"EAD FP";"EAD";"PRESENCIAL";"PRESENCIAL";"PRESENCIAL";"PRESENCIAL"}, MATCH(CONCATENATE(E205, ".", F205),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06" spans="1:42" x14ac:dyDescent="0.25">
      <c r="A206" s="1" t="s">
        <v>27</v>
      </c>
      <c r="B206" s="1" t="s">
        <v>37</v>
      </c>
      <c r="C206" s="1" t="s">
        <v>29</v>
      </c>
      <c r="D206" s="1" t="s">
        <v>38</v>
      </c>
      <c r="E206" s="1" t="s">
        <v>120</v>
      </c>
      <c r="F206" s="1" t="s">
        <v>21</v>
      </c>
      <c r="G206" s="1" t="s">
        <v>140</v>
      </c>
      <c r="H206" s="1" t="s">
        <v>332</v>
      </c>
      <c r="I206" s="1" t="s">
        <v>124</v>
      </c>
      <c r="J206" s="1" t="s">
        <v>125</v>
      </c>
      <c r="K206" s="1" t="s">
        <v>109</v>
      </c>
      <c r="L206" s="1">
        <v>2841368</v>
      </c>
      <c r="M206" s="1" t="s">
        <v>378</v>
      </c>
      <c r="N206" s="5">
        <f>DATE(2022,3,7)</f>
        <v>44627</v>
      </c>
      <c r="O206" s="5">
        <f>DATE(2024,7,19)</f>
        <v>45492</v>
      </c>
      <c r="P206" s="5">
        <f t="shared" si="61"/>
        <v>46587</v>
      </c>
      <c r="Q206" s="1">
        <v>1980</v>
      </c>
      <c r="R206" s="1">
        <v>1600</v>
      </c>
      <c r="S206" s="1">
        <f t="shared" si="62"/>
        <v>1600</v>
      </c>
      <c r="T206" s="1">
        <v>1</v>
      </c>
      <c r="U206" s="1" t="str">
        <f t="shared" si="63"/>
        <v>SIM</v>
      </c>
      <c r="V206" s="1">
        <f t="shared" si="64"/>
        <v>866</v>
      </c>
      <c r="W206" s="4">
        <f t="shared" si="65"/>
        <v>1.8475750577367205</v>
      </c>
      <c r="X206" s="4">
        <f t="shared" si="66"/>
        <v>674.36489607390297</v>
      </c>
      <c r="Y206" s="4">
        <f t="shared" si="67"/>
        <v>0.84295612009237875</v>
      </c>
      <c r="AB206" s="5">
        <f t="shared" si="68"/>
        <v>45292</v>
      </c>
      <c r="AC206" s="5">
        <f t="shared" si="69"/>
        <v>45657</v>
      </c>
      <c r="AD206" s="1">
        <v>36</v>
      </c>
      <c r="AE206" s="1">
        <f t="shared" si="70"/>
        <v>0</v>
      </c>
      <c r="AF206" s="1">
        <f t="shared" si="71"/>
        <v>0</v>
      </c>
      <c r="AG206" s="1">
        <f t="shared" si="72"/>
        <v>201</v>
      </c>
      <c r="AH206" s="1">
        <f t="shared" si="73"/>
        <v>0</v>
      </c>
      <c r="AI206" s="1">
        <f t="shared" si="74"/>
        <v>0</v>
      </c>
      <c r="AJ206" s="3">
        <f t="shared" si="75"/>
        <v>0.54918032786885251</v>
      </c>
      <c r="AK206" s="3">
        <f t="shared" si="76"/>
        <v>0.4629349184113884</v>
      </c>
      <c r="AL206" s="3">
        <f t="shared" si="77"/>
        <v>16.665657062809981</v>
      </c>
      <c r="AM206" s="3">
        <f t="shared" si="78"/>
        <v>16.665657062809981</v>
      </c>
      <c r="AN206" s="3">
        <f t="shared" si="79"/>
        <v>0</v>
      </c>
      <c r="AO206" s="3">
        <f t="shared" si="80"/>
        <v>16.665657062809981</v>
      </c>
      <c r="AP206" s="1" t="str">
        <f>INDEX({"EAD";"EAD";"EAD";"EAD MOOC";"EAD";"EAD";"EAD FP";"EAD";"PRESENCIAL";"PRESENCIAL";"PRESENCIAL";"PRESENCIAL"}, MATCH(CONCATENATE(E206, ".", F206),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07" spans="1:42" x14ac:dyDescent="0.25">
      <c r="A207" s="1" t="s">
        <v>27</v>
      </c>
      <c r="B207" s="1" t="s">
        <v>37</v>
      </c>
      <c r="C207" s="1" t="s">
        <v>29</v>
      </c>
      <c r="D207" s="1" t="s">
        <v>38</v>
      </c>
      <c r="E207" s="1" t="s">
        <v>120</v>
      </c>
      <c r="F207" s="1" t="s">
        <v>21</v>
      </c>
      <c r="G207" s="1" t="s">
        <v>121</v>
      </c>
      <c r="H207" s="1" t="s">
        <v>322</v>
      </c>
      <c r="I207" s="1" t="s">
        <v>107</v>
      </c>
      <c r="J207" s="1" t="s">
        <v>108</v>
      </c>
      <c r="K207" s="1" t="s">
        <v>109</v>
      </c>
      <c r="L207" s="1">
        <v>2841379</v>
      </c>
      <c r="M207" s="1" t="s">
        <v>379</v>
      </c>
      <c r="N207" s="5">
        <f>DATE(2022,3,7)</f>
        <v>44627</v>
      </c>
      <c r="O207" s="5">
        <f>DATE(2026,12,18)</f>
        <v>46374</v>
      </c>
      <c r="P207" s="5">
        <f t="shared" si="61"/>
        <v>47469</v>
      </c>
      <c r="Q207" s="1">
        <v>4607</v>
      </c>
      <c r="R207" s="1">
        <v>3600</v>
      </c>
      <c r="S207" s="1">
        <f t="shared" si="62"/>
        <v>3600</v>
      </c>
      <c r="T207" s="1">
        <v>2.5</v>
      </c>
      <c r="U207" s="1" t="str">
        <f t="shared" si="63"/>
        <v>SIM</v>
      </c>
      <c r="V207" s="1">
        <f t="shared" si="64"/>
        <v>1748</v>
      </c>
      <c r="W207" s="4">
        <f t="shared" si="65"/>
        <v>2.0594965675057209</v>
      </c>
      <c r="X207" s="4">
        <f t="shared" si="66"/>
        <v>751.71624713958806</v>
      </c>
      <c r="Y207" s="4">
        <f t="shared" si="67"/>
        <v>0.93964530892448506</v>
      </c>
      <c r="AB207" s="5">
        <f t="shared" si="68"/>
        <v>45292</v>
      </c>
      <c r="AC207" s="5">
        <f t="shared" si="69"/>
        <v>45657</v>
      </c>
      <c r="AD207" s="1">
        <v>31</v>
      </c>
      <c r="AE207" s="1">
        <f t="shared" si="70"/>
        <v>366</v>
      </c>
      <c r="AF207" s="1">
        <f t="shared" si="71"/>
        <v>0</v>
      </c>
      <c r="AG207" s="1">
        <f t="shared" si="72"/>
        <v>0</v>
      </c>
      <c r="AH207" s="1">
        <f t="shared" si="73"/>
        <v>0</v>
      </c>
      <c r="AI207" s="1">
        <f t="shared" si="74"/>
        <v>0</v>
      </c>
      <c r="AJ207" s="3">
        <f t="shared" si="75"/>
        <v>1</v>
      </c>
      <c r="AK207" s="3">
        <f t="shared" si="76"/>
        <v>0.93964530892448506</v>
      </c>
      <c r="AL207" s="3">
        <f t="shared" si="77"/>
        <v>29.129004576659035</v>
      </c>
      <c r="AM207" s="3">
        <f t="shared" si="78"/>
        <v>72.822511441647592</v>
      </c>
      <c r="AN207" s="3">
        <f t="shared" si="79"/>
        <v>36.411255720823796</v>
      </c>
      <c r="AO207" s="3">
        <f t="shared" si="80"/>
        <v>109.23376716247139</v>
      </c>
      <c r="AP207" s="1" t="str">
        <f>INDEX({"EAD";"EAD";"EAD";"EAD MOOC";"EAD";"EAD";"EAD FP";"EAD";"PRESENCIAL";"PRESENCIAL";"PRESENCIAL";"PRESENCIAL"}, MATCH(CONCATENATE(E207, ".", F207),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08" spans="1:42" x14ac:dyDescent="0.25">
      <c r="A208" s="1" t="s">
        <v>27</v>
      </c>
      <c r="B208" s="1" t="s">
        <v>37</v>
      </c>
      <c r="C208" s="1" t="s">
        <v>29</v>
      </c>
      <c r="D208" s="1" t="s">
        <v>38</v>
      </c>
      <c r="E208" s="1" t="s">
        <v>120</v>
      </c>
      <c r="F208" s="1" t="s">
        <v>21</v>
      </c>
      <c r="G208" s="1" t="s">
        <v>128</v>
      </c>
      <c r="H208" s="1" t="s">
        <v>132</v>
      </c>
      <c r="I208" s="1" t="s">
        <v>107</v>
      </c>
      <c r="J208" s="1" t="s">
        <v>108</v>
      </c>
      <c r="K208" s="1" t="s">
        <v>163</v>
      </c>
      <c r="L208" s="1">
        <v>2885169</v>
      </c>
      <c r="M208" s="1" t="s">
        <v>380</v>
      </c>
      <c r="N208" s="5">
        <f>DATE(2022,7,18)</f>
        <v>44760</v>
      </c>
      <c r="O208" s="5">
        <f>DATE(2023,12,15)</f>
        <v>45275</v>
      </c>
      <c r="P208" s="5">
        <f t="shared" si="61"/>
        <v>46370</v>
      </c>
      <c r="Q208" s="1">
        <v>1367</v>
      </c>
      <c r="R208" s="1">
        <v>1200</v>
      </c>
      <c r="S208" s="1">
        <f t="shared" si="62"/>
        <v>1200</v>
      </c>
      <c r="T208" s="1">
        <v>2.5</v>
      </c>
      <c r="U208" s="1" t="str">
        <f t="shared" si="63"/>
        <v>SIM</v>
      </c>
      <c r="V208" s="1">
        <f t="shared" si="64"/>
        <v>516</v>
      </c>
      <c r="W208" s="4">
        <f t="shared" si="65"/>
        <v>2.3255813953488373</v>
      </c>
      <c r="X208" s="4">
        <f t="shared" si="66"/>
        <v>848.83720930232562</v>
      </c>
      <c r="Y208" s="4">
        <f t="shared" si="67"/>
        <v>1.0610465116279071</v>
      </c>
      <c r="AB208" s="5">
        <f t="shared" si="68"/>
        <v>45292</v>
      </c>
      <c r="AC208" s="5">
        <f t="shared" si="69"/>
        <v>45657</v>
      </c>
      <c r="AD208" s="1">
        <v>8</v>
      </c>
      <c r="AE208" s="1">
        <f t="shared" si="70"/>
        <v>0</v>
      </c>
      <c r="AF208" s="1">
        <f t="shared" si="71"/>
        <v>0</v>
      </c>
      <c r="AG208" s="1">
        <f t="shared" si="72"/>
        <v>0</v>
      </c>
      <c r="AH208" s="1">
        <f t="shared" si="73"/>
        <v>0</v>
      </c>
      <c r="AI208" s="1">
        <f t="shared" si="74"/>
        <v>183</v>
      </c>
      <c r="AJ208" s="3">
        <f t="shared" si="75"/>
        <v>0.5</v>
      </c>
      <c r="AK208" s="3">
        <f t="shared" si="76"/>
        <v>0.53052325581395354</v>
      </c>
      <c r="AL208" s="3">
        <f t="shared" si="77"/>
        <v>2.1220930232558142</v>
      </c>
      <c r="AM208" s="3">
        <f t="shared" si="78"/>
        <v>5.3052325581395356</v>
      </c>
      <c r="AN208" s="3">
        <f t="shared" si="79"/>
        <v>2.6526162790697678</v>
      </c>
      <c r="AO208" s="3">
        <f t="shared" si="80"/>
        <v>7.957848837209303</v>
      </c>
      <c r="AP208" s="1" t="str">
        <f>INDEX({"EAD";"EAD";"EAD";"EAD MOOC";"EAD";"EAD";"EAD FP";"EAD";"PRESENCIAL";"PRESENCIAL";"PRESENCIAL";"PRESENCIAL"}, MATCH(CONCATENATE(E208, ".", F208),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09" spans="1:42" x14ac:dyDescent="0.25">
      <c r="A209" s="1" t="s">
        <v>27</v>
      </c>
      <c r="B209" s="1" t="s">
        <v>37</v>
      </c>
      <c r="C209" s="1" t="s">
        <v>29</v>
      </c>
      <c r="D209" s="1" t="s">
        <v>38</v>
      </c>
      <c r="E209" s="1" t="s">
        <v>120</v>
      </c>
      <c r="F209" s="1" t="s">
        <v>21</v>
      </c>
      <c r="G209" s="1" t="s">
        <v>121</v>
      </c>
      <c r="H209" s="1" t="s">
        <v>322</v>
      </c>
      <c r="I209" s="1" t="s">
        <v>107</v>
      </c>
      <c r="J209" s="1" t="s">
        <v>108</v>
      </c>
      <c r="K209" s="1" t="s">
        <v>109</v>
      </c>
      <c r="L209" s="1">
        <v>2904428</v>
      </c>
      <c r="M209" s="1" t="s">
        <v>381</v>
      </c>
      <c r="N209" s="5">
        <f>DATE(2022,8,10)</f>
        <v>44783</v>
      </c>
      <c r="O209" s="5">
        <f>DATE(2027,8,30)</f>
        <v>46629</v>
      </c>
      <c r="P209" s="5">
        <f t="shared" si="61"/>
        <v>47724</v>
      </c>
      <c r="Q209" s="1">
        <v>4607</v>
      </c>
      <c r="R209" s="1">
        <v>3600</v>
      </c>
      <c r="S209" s="1">
        <f t="shared" si="62"/>
        <v>3600</v>
      </c>
      <c r="T209" s="1">
        <v>2.5</v>
      </c>
      <c r="U209" s="1" t="str">
        <f t="shared" si="63"/>
        <v>SIM</v>
      </c>
      <c r="V209" s="1">
        <f t="shared" si="64"/>
        <v>1847</v>
      </c>
      <c r="W209" s="4">
        <f t="shared" si="65"/>
        <v>1.9491066594477531</v>
      </c>
      <c r="X209" s="4">
        <f t="shared" si="66"/>
        <v>711.4239306984299</v>
      </c>
      <c r="Y209" s="4">
        <f t="shared" si="67"/>
        <v>0.88927991337303736</v>
      </c>
      <c r="AB209" s="5">
        <f t="shared" si="68"/>
        <v>45292</v>
      </c>
      <c r="AC209" s="5">
        <f t="shared" si="69"/>
        <v>45657</v>
      </c>
      <c r="AD209" s="1">
        <v>34</v>
      </c>
      <c r="AE209" s="1">
        <f t="shared" si="70"/>
        <v>366</v>
      </c>
      <c r="AF209" s="1">
        <f t="shared" si="71"/>
        <v>0</v>
      </c>
      <c r="AG209" s="1">
        <f t="shared" si="72"/>
        <v>0</v>
      </c>
      <c r="AH209" s="1">
        <f t="shared" si="73"/>
        <v>0</v>
      </c>
      <c r="AI209" s="1">
        <f t="shared" si="74"/>
        <v>0</v>
      </c>
      <c r="AJ209" s="3">
        <f t="shared" si="75"/>
        <v>1</v>
      </c>
      <c r="AK209" s="3">
        <f t="shared" si="76"/>
        <v>0.88927991337303736</v>
      </c>
      <c r="AL209" s="3">
        <f t="shared" si="77"/>
        <v>30.235517054683271</v>
      </c>
      <c r="AM209" s="3">
        <f t="shared" si="78"/>
        <v>75.588792636708177</v>
      </c>
      <c r="AN209" s="3">
        <f t="shared" si="79"/>
        <v>37.794396318354089</v>
      </c>
      <c r="AO209" s="3">
        <f t="shared" si="80"/>
        <v>113.38318895506227</v>
      </c>
      <c r="AP209" s="1" t="str">
        <f>INDEX({"EAD";"EAD";"EAD";"EAD MOOC";"EAD";"EAD";"EAD FP";"EAD";"PRESENCIAL";"PRESENCIAL";"PRESENCIAL";"PRESENCIAL"}, MATCH(CONCATENATE(E209, ".", F209),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10" spans="1:42" x14ac:dyDescent="0.25">
      <c r="A210" s="1" t="s">
        <v>27</v>
      </c>
      <c r="B210" s="1" t="s">
        <v>37</v>
      </c>
      <c r="C210" s="1" t="s">
        <v>29</v>
      </c>
      <c r="D210" s="1" t="s">
        <v>38</v>
      </c>
      <c r="E210" s="1" t="s">
        <v>120</v>
      </c>
      <c r="F210" s="1" t="s">
        <v>21</v>
      </c>
      <c r="G210" s="1" t="s">
        <v>128</v>
      </c>
      <c r="H210" s="1" t="s">
        <v>343</v>
      </c>
      <c r="I210" s="1" t="s">
        <v>209</v>
      </c>
      <c r="J210" s="1" t="s">
        <v>125</v>
      </c>
      <c r="K210" s="1" t="s">
        <v>130</v>
      </c>
      <c r="L210" s="1">
        <v>2950224</v>
      </c>
      <c r="M210" s="1" t="s">
        <v>382</v>
      </c>
      <c r="N210" s="5">
        <f t="shared" ref="N210:N215" si="81">DATE(2023,2,6)</f>
        <v>44963</v>
      </c>
      <c r="O210" s="5">
        <f>DATE(2025,12,30)</f>
        <v>46021</v>
      </c>
      <c r="P210" s="5">
        <f t="shared" si="61"/>
        <v>47116</v>
      </c>
      <c r="Q210" s="1">
        <v>4176</v>
      </c>
      <c r="R210" s="1">
        <v>1000</v>
      </c>
      <c r="S210" s="1">
        <f t="shared" si="62"/>
        <v>3100</v>
      </c>
      <c r="T210" s="1">
        <v>1.5</v>
      </c>
      <c r="U210" s="1" t="str">
        <f t="shared" si="63"/>
        <v>SIM</v>
      </c>
      <c r="V210" s="1">
        <f t="shared" si="64"/>
        <v>1059</v>
      </c>
      <c r="W210" s="4">
        <f t="shared" si="65"/>
        <v>2.9272898961284231</v>
      </c>
      <c r="X210" s="4">
        <f t="shared" si="66"/>
        <v>1068.4608120868745</v>
      </c>
      <c r="Y210" s="4">
        <f t="shared" si="67"/>
        <v>1.3355760151085931</v>
      </c>
      <c r="AB210" s="5">
        <f t="shared" si="68"/>
        <v>45292</v>
      </c>
      <c r="AC210" s="5">
        <f t="shared" si="69"/>
        <v>45657</v>
      </c>
      <c r="AD210" s="1">
        <v>32</v>
      </c>
      <c r="AE210" s="1">
        <f t="shared" si="70"/>
        <v>366</v>
      </c>
      <c r="AF210" s="1">
        <f t="shared" si="71"/>
        <v>0</v>
      </c>
      <c r="AG210" s="1">
        <f t="shared" si="72"/>
        <v>0</v>
      </c>
      <c r="AH210" s="1">
        <f t="shared" si="73"/>
        <v>0</v>
      </c>
      <c r="AI210" s="1">
        <f t="shared" si="74"/>
        <v>0</v>
      </c>
      <c r="AJ210" s="3">
        <f t="shared" si="75"/>
        <v>1</v>
      </c>
      <c r="AK210" s="3">
        <f t="shared" si="76"/>
        <v>1.3355760151085931</v>
      </c>
      <c r="AL210" s="3">
        <f t="shared" si="77"/>
        <v>42.73843248347498</v>
      </c>
      <c r="AM210" s="3">
        <f t="shared" si="78"/>
        <v>64.107648725212471</v>
      </c>
      <c r="AN210" s="3">
        <f t="shared" si="79"/>
        <v>0</v>
      </c>
      <c r="AO210" s="3">
        <f t="shared" si="80"/>
        <v>64.107648725212471</v>
      </c>
      <c r="AP210" s="1" t="str">
        <f>INDEX({"EAD";"EAD";"EAD";"EAD MOOC";"EAD";"EAD";"EAD FP";"EAD";"PRESENCIAL";"PRESENCIAL";"PRESENCIAL";"PRESENCIAL"}, MATCH(CONCATENATE(E210, ".", F210),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11" spans="1:42" x14ac:dyDescent="0.25">
      <c r="A211" s="1" t="s">
        <v>27</v>
      </c>
      <c r="B211" s="1" t="s">
        <v>37</v>
      </c>
      <c r="C211" s="1" t="s">
        <v>29</v>
      </c>
      <c r="D211" s="1" t="s">
        <v>38</v>
      </c>
      <c r="E211" s="1" t="s">
        <v>120</v>
      </c>
      <c r="F211" s="1" t="s">
        <v>21</v>
      </c>
      <c r="G211" s="1" t="s">
        <v>128</v>
      </c>
      <c r="H211" s="1" t="s">
        <v>132</v>
      </c>
      <c r="I211" s="1" t="s">
        <v>107</v>
      </c>
      <c r="J211" s="1" t="s">
        <v>108</v>
      </c>
      <c r="K211" s="1" t="s">
        <v>130</v>
      </c>
      <c r="L211" s="1">
        <v>2950230</v>
      </c>
      <c r="M211" s="1" t="s">
        <v>383</v>
      </c>
      <c r="N211" s="5">
        <f t="shared" si="81"/>
        <v>44963</v>
      </c>
      <c r="O211" s="5">
        <f>DATE(2025,12,30)</f>
        <v>46021</v>
      </c>
      <c r="P211" s="5">
        <f t="shared" si="61"/>
        <v>47116</v>
      </c>
      <c r="Q211" s="1">
        <v>4278</v>
      </c>
      <c r="R211" s="1">
        <v>1200</v>
      </c>
      <c r="S211" s="1">
        <f t="shared" si="62"/>
        <v>3200</v>
      </c>
      <c r="T211" s="1">
        <v>2.5</v>
      </c>
      <c r="U211" s="1" t="str">
        <f t="shared" si="63"/>
        <v>SIM</v>
      </c>
      <c r="V211" s="1">
        <f t="shared" si="64"/>
        <v>1059</v>
      </c>
      <c r="W211" s="4">
        <f t="shared" si="65"/>
        <v>3.0217186024551466</v>
      </c>
      <c r="X211" s="4">
        <f t="shared" si="66"/>
        <v>1102.9272898961285</v>
      </c>
      <c r="Y211" s="4">
        <f t="shared" si="67"/>
        <v>1.3786591123701606</v>
      </c>
      <c r="AB211" s="5">
        <f t="shared" si="68"/>
        <v>45292</v>
      </c>
      <c r="AC211" s="5">
        <f t="shared" si="69"/>
        <v>45657</v>
      </c>
      <c r="AD211" s="1">
        <v>96</v>
      </c>
      <c r="AE211" s="1">
        <f t="shared" si="70"/>
        <v>366</v>
      </c>
      <c r="AF211" s="1">
        <f t="shared" si="71"/>
        <v>0</v>
      </c>
      <c r="AG211" s="1">
        <f t="shared" si="72"/>
        <v>0</v>
      </c>
      <c r="AH211" s="1">
        <f t="shared" si="73"/>
        <v>0</v>
      </c>
      <c r="AI211" s="1">
        <f t="shared" si="74"/>
        <v>0</v>
      </c>
      <c r="AJ211" s="3">
        <f t="shared" si="75"/>
        <v>1</v>
      </c>
      <c r="AK211" s="3">
        <f t="shared" si="76"/>
        <v>1.3786591123701606</v>
      </c>
      <c r="AL211" s="3">
        <f t="shared" si="77"/>
        <v>132.35127478753543</v>
      </c>
      <c r="AM211" s="3">
        <f t="shared" si="78"/>
        <v>330.87818696883858</v>
      </c>
      <c r="AN211" s="3">
        <f t="shared" si="79"/>
        <v>165.43909348441929</v>
      </c>
      <c r="AO211" s="3">
        <f t="shared" si="80"/>
        <v>496.31728045325787</v>
      </c>
      <c r="AP211" s="1" t="str">
        <f>INDEX({"EAD";"EAD";"EAD";"EAD MOOC";"EAD";"EAD";"EAD FP";"EAD";"PRESENCIAL";"PRESENCIAL";"PRESENCIAL";"PRESENCIAL"}, MATCH(CONCATENATE(E211, ".", F211),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12" spans="1:42" x14ac:dyDescent="0.25">
      <c r="A212" s="1" t="s">
        <v>27</v>
      </c>
      <c r="B212" s="1" t="s">
        <v>37</v>
      </c>
      <c r="C212" s="1" t="s">
        <v>29</v>
      </c>
      <c r="D212" s="1" t="s">
        <v>38</v>
      </c>
      <c r="E212" s="1" t="s">
        <v>120</v>
      </c>
      <c r="F212" s="1" t="s">
        <v>21</v>
      </c>
      <c r="G212" s="1" t="s">
        <v>140</v>
      </c>
      <c r="H212" s="1" t="s">
        <v>325</v>
      </c>
      <c r="I212" s="1" t="s">
        <v>228</v>
      </c>
      <c r="J212" s="1" t="s">
        <v>108</v>
      </c>
      <c r="K212" s="1" t="s">
        <v>109</v>
      </c>
      <c r="L212" s="1">
        <v>2950501</v>
      </c>
      <c r="M212" s="1" t="s">
        <v>384</v>
      </c>
      <c r="N212" s="5">
        <f t="shared" si="81"/>
        <v>44963</v>
      </c>
      <c r="O212" s="5">
        <f>DATE(2025,12,30)</f>
        <v>46021</v>
      </c>
      <c r="P212" s="5">
        <f t="shared" si="61"/>
        <v>47116</v>
      </c>
      <c r="Q212" s="1">
        <v>2439</v>
      </c>
      <c r="R212" s="1">
        <v>2400</v>
      </c>
      <c r="S212" s="1">
        <f t="shared" si="62"/>
        <v>2400</v>
      </c>
      <c r="T212" s="1">
        <v>2.5</v>
      </c>
      <c r="U212" s="1" t="str">
        <f t="shared" si="63"/>
        <v>SIM</v>
      </c>
      <c r="V212" s="1">
        <f t="shared" si="64"/>
        <v>1059</v>
      </c>
      <c r="W212" s="4">
        <f t="shared" si="65"/>
        <v>2.2662889518413598</v>
      </c>
      <c r="X212" s="4">
        <f t="shared" si="66"/>
        <v>827.19546742209639</v>
      </c>
      <c r="Y212" s="4">
        <f t="shared" si="67"/>
        <v>1.0339943342776206</v>
      </c>
      <c r="AB212" s="5">
        <f t="shared" si="68"/>
        <v>45292</v>
      </c>
      <c r="AC212" s="5">
        <f t="shared" si="69"/>
        <v>45657</v>
      </c>
      <c r="AD212" s="1">
        <v>22</v>
      </c>
      <c r="AE212" s="1">
        <f t="shared" si="70"/>
        <v>366</v>
      </c>
      <c r="AF212" s="1">
        <f t="shared" si="71"/>
        <v>0</v>
      </c>
      <c r="AG212" s="1">
        <f t="shared" si="72"/>
        <v>0</v>
      </c>
      <c r="AH212" s="1">
        <f t="shared" si="73"/>
        <v>0</v>
      </c>
      <c r="AI212" s="1">
        <f t="shared" si="74"/>
        <v>0</v>
      </c>
      <c r="AJ212" s="3">
        <f t="shared" si="75"/>
        <v>1</v>
      </c>
      <c r="AK212" s="3">
        <f t="shared" si="76"/>
        <v>1.0339943342776206</v>
      </c>
      <c r="AL212" s="3">
        <f t="shared" si="77"/>
        <v>22.747875354107652</v>
      </c>
      <c r="AM212" s="3">
        <f t="shared" si="78"/>
        <v>56.869688385269129</v>
      </c>
      <c r="AN212" s="3">
        <f t="shared" si="79"/>
        <v>28.434844192634564</v>
      </c>
      <c r="AO212" s="3">
        <f t="shared" si="80"/>
        <v>85.3045325779037</v>
      </c>
      <c r="AP212" s="1" t="str">
        <f>INDEX({"EAD";"EAD";"EAD";"EAD MOOC";"EAD";"EAD";"EAD FP";"EAD";"PRESENCIAL";"PRESENCIAL";"PRESENCIAL";"PRESENCIAL"}, MATCH(CONCATENATE(E212, ".", F212),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13" spans="1:42" x14ac:dyDescent="0.25">
      <c r="A213" s="1" t="s">
        <v>27</v>
      </c>
      <c r="B213" s="1" t="s">
        <v>37</v>
      </c>
      <c r="C213" s="1" t="s">
        <v>29</v>
      </c>
      <c r="D213" s="1" t="s">
        <v>38</v>
      </c>
      <c r="E213" s="1" t="s">
        <v>120</v>
      </c>
      <c r="F213" s="1" t="s">
        <v>21</v>
      </c>
      <c r="G213" s="1" t="s">
        <v>140</v>
      </c>
      <c r="H213" s="1" t="s">
        <v>332</v>
      </c>
      <c r="I213" s="1" t="s">
        <v>124</v>
      </c>
      <c r="J213" s="1" t="s">
        <v>125</v>
      </c>
      <c r="K213" s="1" t="s">
        <v>109</v>
      </c>
      <c r="L213" s="1">
        <v>2950506</v>
      </c>
      <c r="M213" s="1" t="s">
        <v>385</v>
      </c>
      <c r="N213" s="5">
        <f t="shared" si="81"/>
        <v>44963</v>
      </c>
      <c r="O213" s="5">
        <f>DATE(2025,6,30)</f>
        <v>45838</v>
      </c>
      <c r="P213" s="5">
        <f t="shared" si="61"/>
        <v>46933</v>
      </c>
      <c r="Q213" s="1">
        <v>1700</v>
      </c>
      <c r="R213" s="1">
        <v>1600</v>
      </c>
      <c r="S213" s="1">
        <f t="shared" si="62"/>
        <v>1600</v>
      </c>
      <c r="T213" s="1">
        <v>1</v>
      </c>
      <c r="U213" s="1" t="str">
        <f t="shared" si="63"/>
        <v>SIM</v>
      </c>
      <c r="V213" s="1">
        <f t="shared" si="64"/>
        <v>876</v>
      </c>
      <c r="W213" s="4">
        <f t="shared" si="65"/>
        <v>1.8264840182648401</v>
      </c>
      <c r="X213" s="4">
        <f t="shared" si="66"/>
        <v>666.66666666666663</v>
      </c>
      <c r="Y213" s="4">
        <f t="shared" si="67"/>
        <v>0.83333333333333326</v>
      </c>
      <c r="AB213" s="5">
        <f t="shared" si="68"/>
        <v>45292</v>
      </c>
      <c r="AC213" s="5">
        <f t="shared" si="69"/>
        <v>45657</v>
      </c>
      <c r="AD213" s="1">
        <v>33</v>
      </c>
      <c r="AE213" s="1">
        <f t="shared" si="70"/>
        <v>366</v>
      </c>
      <c r="AF213" s="1">
        <f t="shared" si="71"/>
        <v>0</v>
      </c>
      <c r="AG213" s="1">
        <f t="shared" si="72"/>
        <v>0</v>
      </c>
      <c r="AH213" s="1">
        <f t="shared" si="73"/>
        <v>0</v>
      </c>
      <c r="AI213" s="1">
        <f t="shared" si="74"/>
        <v>0</v>
      </c>
      <c r="AJ213" s="3">
        <f t="shared" si="75"/>
        <v>1</v>
      </c>
      <c r="AK213" s="3">
        <f t="shared" si="76"/>
        <v>0.83333333333333326</v>
      </c>
      <c r="AL213" s="3">
        <f t="shared" si="77"/>
        <v>27.499999999999996</v>
      </c>
      <c r="AM213" s="3">
        <f t="shared" si="78"/>
        <v>27.499999999999996</v>
      </c>
      <c r="AN213" s="3">
        <f t="shared" si="79"/>
        <v>0</v>
      </c>
      <c r="AO213" s="3">
        <f t="shared" si="80"/>
        <v>27.499999999999996</v>
      </c>
      <c r="AP213" s="1" t="str">
        <f>INDEX({"EAD";"EAD";"EAD";"EAD MOOC";"EAD";"EAD";"EAD FP";"EAD";"PRESENCIAL";"PRESENCIAL";"PRESENCIAL";"PRESENCIAL"}, MATCH(CONCATENATE(E213, ".", F213),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14" spans="1:42" x14ac:dyDescent="0.25">
      <c r="A214" s="1" t="s">
        <v>27</v>
      </c>
      <c r="B214" s="1" t="s">
        <v>37</v>
      </c>
      <c r="C214" s="1" t="s">
        <v>29</v>
      </c>
      <c r="D214" s="1" t="s">
        <v>38</v>
      </c>
      <c r="E214" s="1" t="s">
        <v>120</v>
      </c>
      <c r="F214" s="1" t="s">
        <v>21</v>
      </c>
      <c r="G214" s="1" t="s">
        <v>121</v>
      </c>
      <c r="H214" s="1" t="s">
        <v>322</v>
      </c>
      <c r="I214" s="1" t="s">
        <v>107</v>
      </c>
      <c r="J214" s="1" t="s">
        <v>108</v>
      </c>
      <c r="K214" s="1" t="s">
        <v>109</v>
      </c>
      <c r="L214" s="1">
        <v>2950512</v>
      </c>
      <c r="M214" s="1" t="s">
        <v>386</v>
      </c>
      <c r="N214" s="5">
        <f t="shared" si="81"/>
        <v>44963</v>
      </c>
      <c r="O214" s="5">
        <f>DATE(2027,12,30)</f>
        <v>46751</v>
      </c>
      <c r="P214" s="5">
        <f t="shared" si="61"/>
        <v>47846</v>
      </c>
      <c r="Q214" s="1">
        <v>3683</v>
      </c>
      <c r="R214" s="1">
        <v>3600</v>
      </c>
      <c r="S214" s="1">
        <f t="shared" si="62"/>
        <v>3600</v>
      </c>
      <c r="T214" s="1">
        <v>2.5</v>
      </c>
      <c r="U214" s="1" t="str">
        <f t="shared" si="63"/>
        <v>SIM</v>
      </c>
      <c r="V214" s="1">
        <f t="shared" si="64"/>
        <v>1789</v>
      </c>
      <c r="W214" s="4">
        <f t="shared" si="65"/>
        <v>2.0122973728339857</v>
      </c>
      <c r="X214" s="4">
        <f t="shared" si="66"/>
        <v>734.4885410844048</v>
      </c>
      <c r="Y214" s="4">
        <f t="shared" si="67"/>
        <v>0.91811067635550603</v>
      </c>
      <c r="AB214" s="5">
        <f t="shared" si="68"/>
        <v>45292</v>
      </c>
      <c r="AC214" s="5">
        <f t="shared" si="69"/>
        <v>45657</v>
      </c>
      <c r="AD214" s="1">
        <v>54</v>
      </c>
      <c r="AE214" s="1">
        <f t="shared" si="70"/>
        <v>366</v>
      </c>
      <c r="AF214" s="1">
        <f t="shared" si="71"/>
        <v>0</v>
      </c>
      <c r="AG214" s="1">
        <f t="shared" si="72"/>
        <v>0</v>
      </c>
      <c r="AH214" s="1">
        <f t="shared" si="73"/>
        <v>0</v>
      </c>
      <c r="AI214" s="1">
        <f t="shared" si="74"/>
        <v>0</v>
      </c>
      <c r="AJ214" s="3">
        <f t="shared" si="75"/>
        <v>1</v>
      </c>
      <c r="AK214" s="3">
        <f t="shared" si="76"/>
        <v>0.91811067635550603</v>
      </c>
      <c r="AL214" s="3">
        <f t="shared" si="77"/>
        <v>49.577976523197329</v>
      </c>
      <c r="AM214" s="3">
        <f t="shared" si="78"/>
        <v>123.94494130799332</v>
      </c>
      <c r="AN214" s="3">
        <f t="shared" si="79"/>
        <v>61.972470653996659</v>
      </c>
      <c r="AO214" s="3">
        <f t="shared" si="80"/>
        <v>185.91741196198998</v>
      </c>
      <c r="AP214" s="1" t="str">
        <f>INDEX({"EAD";"EAD";"EAD";"EAD MOOC";"EAD";"EAD";"EAD FP";"EAD";"PRESENCIAL";"PRESENCIAL";"PRESENCIAL";"PRESENCIAL"}, MATCH(CONCATENATE(E214, ".", F214),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15" spans="1:42" x14ac:dyDescent="0.25">
      <c r="A215" s="1" t="s">
        <v>27</v>
      </c>
      <c r="B215" s="1" t="s">
        <v>37</v>
      </c>
      <c r="C215" s="1" t="s">
        <v>29</v>
      </c>
      <c r="D215" s="1" t="s">
        <v>38</v>
      </c>
      <c r="E215" s="1" t="s">
        <v>120</v>
      </c>
      <c r="F215" s="1" t="s">
        <v>21</v>
      </c>
      <c r="G215" s="1" t="s">
        <v>278</v>
      </c>
      <c r="H215" s="1" t="s">
        <v>320</v>
      </c>
      <c r="I215" s="1" t="s">
        <v>172</v>
      </c>
      <c r="J215" s="1" t="s">
        <v>125</v>
      </c>
      <c r="K215" s="1" t="s">
        <v>109</v>
      </c>
      <c r="L215" s="1">
        <v>2950518</v>
      </c>
      <c r="M215" s="1" t="s">
        <v>387</v>
      </c>
      <c r="N215" s="5">
        <f t="shared" si="81"/>
        <v>44963</v>
      </c>
      <c r="O215" s="5">
        <f>DATE(2027,6,30)</f>
        <v>46568</v>
      </c>
      <c r="P215" s="5">
        <f t="shared" si="61"/>
        <v>47663</v>
      </c>
      <c r="Q215" s="1">
        <v>3400</v>
      </c>
      <c r="R215" s="1">
        <v>3200</v>
      </c>
      <c r="S215" s="1">
        <f t="shared" si="62"/>
        <v>3200</v>
      </c>
      <c r="T215" s="1">
        <v>2.5</v>
      </c>
      <c r="U215" s="1" t="str">
        <f t="shared" si="63"/>
        <v>SIM</v>
      </c>
      <c r="V215" s="1">
        <f t="shared" si="64"/>
        <v>1606</v>
      </c>
      <c r="W215" s="4">
        <f t="shared" si="65"/>
        <v>1.9925280199252802</v>
      </c>
      <c r="X215" s="4">
        <f t="shared" si="66"/>
        <v>727.27272727272725</v>
      </c>
      <c r="Y215" s="4">
        <f t="shared" si="67"/>
        <v>0.90909090909090906</v>
      </c>
      <c r="AB215" s="5">
        <f t="shared" si="68"/>
        <v>45292</v>
      </c>
      <c r="AC215" s="5">
        <f t="shared" si="69"/>
        <v>45657</v>
      </c>
      <c r="AD215" s="1">
        <v>14</v>
      </c>
      <c r="AE215" s="1">
        <f t="shared" si="70"/>
        <v>366</v>
      </c>
      <c r="AF215" s="1">
        <f t="shared" si="71"/>
        <v>0</v>
      </c>
      <c r="AG215" s="1">
        <f t="shared" si="72"/>
        <v>0</v>
      </c>
      <c r="AH215" s="1">
        <f t="shared" si="73"/>
        <v>0</v>
      </c>
      <c r="AI215" s="1">
        <f t="shared" si="74"/>
        <v>0</v>
      </c>
      <c r="AJ215" s="3">
        <f t="shared" si="75"/>
        <v>1</v>
      </c>
      <c r="AK215" s="3">
        <f t="shared" si="76"/>
        <v>0.90909090909090906</v>
      </c>
      <c r="AL215" s="3">
        <f t="shared" si="77"/>
        <v>12.727272727272727</v>
      </c>
      <c r="AM215" s="3">
        <f t="shared" si="78"/>
        <v>31.818181818181817</v>
      </c>
      <c r="AN215" s="3">
        <f t="shared" si="79"/>
        <v>0</v>
      </c>
      <c r="AO215" s="3">
        <f t="shared" si="80"/>
        <v>31.818181818181817</v>
      </c>
      <c r="AP215" s="1" t="str">
        <f>INDEX({"EAD";"EAD";"EAD";"EAD MOOC";"EAD";"EAD";"EAD FP";"EAD";"PRESENCIAL";"PRESENCIAL";"PRESENCIAL";"PRESENCIAL"}, MATCH(CONCATENATE(E215, ".", F215),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16" spans="1:42" x14ac:dyDescent="0.25">
      <c r="A216" s="1" t="s">
        <v>27</v>
      </c>
      <c r="B216" s="1" t="s">
        <v>37</v>
      </c>
      <c r="C216" s="1" t="s">
        <v>29</v>
      </c>
      <c r="D216" s="1" t="s">
        <v>38</v>
      </c>
      <c r="E216" s="1" t="s">
        <v>120</v>
      </c>
      <c r="F216" s="1" t="s">
        <v>21</v>
      </c>
      <c r="G216" s="1" t="s">
        <v>128</v>
      </c>
      <c r="H216" s="1" t="s">
        <v>132</v>
      </c>
      <c r="I216" s="1" t="s">
        <v>107</v>
      </c>
      <c r="J216" s="1" t="s">
        <v>108</v>
      </c>
      <c r="K216" s="1" t="s">
        <v>163</v>
      </c>
      <c r="L216" s="1">
        <v>2950984</v>
      </c>
      <c r="M216" s="1" t="s">
        <v>388</v>
      </c>
      <c r="N216" s="5">
        <f>DATE(2023,2,10)</f>
        <v>44967</v>
      </c>
      <c r="O216" s="5">
        <f>DATE(2024,6,30)</f>
        <v>45473</v>
      </c>
      <c r="P216" s="5">
        <f t="shared" si="61"/>
        <v>46568</v>
      </c>
      <c r="Q216" s="1">
        <v>1367</v>
      </c>
      <c r="R216" s="1">
        <v>1200</v>
      </c>
      <c r="S216" s="1">
        <f t="shared" si="62"/>
        <v>1200</v>
      </c>
      <c r="T216" s="1">
        <v>2.5</v>
      </c>
      <c r="U216" s="1" t="str">
        <f t="shared" si="63"/>
        <v>SIM</v>
      </c>
      <c r="V216" s="1">
        <f t="shared" si="64"/>
        <v>507</v>
      </c>
      <c r="W216" s="4">
        <f t="shared" si="65"/>
        <v>2.3668639053254439</v>
      </c>
      <c r="X216" s="4">
        <f t="shared" si="66"/>
        <v>863.90532544378698</v>
      </c>
      <c r="Y216" s="4">
        <f t="shared" si="67"/>
        <v>1.0798816568047338</v>
      </c>
      <c r="AB216" s="5">
        <f t="shared" si="68"/>
        <v>45292</v>
      </c>
      <c r="AC216" s="5">
        <f t="shared" si="69"/>
        <v>45657</v>
      </c>
      <c r="AD216" s="1">
        <v>39</v>
      </c>
      <c r="AE216" s="1">
        <f t="shared" si="70"/>
        <v>0</v>
      </c>
      <c r="AF216" s="1">
        <f t="shared" si="71"/>
        <v>0</v>
      </c>
      <c r="AG216" s="1">
        <f t="shared" si="72"/>
        <v>182</v>
      </c>
      <c r="AH216" s="1">
        <f t="shared" si="73"/>
        <v>0</v>
      </c>
      <c r="AI216" s="1">
        <f t="shared" si="74"/>
        <v>0</v>
      </c>
      <c r="AJ216" s="3">
        <f t="shared" si="75"/>
        <v>0.49726775956284153</v>
      </c>
      <c r="AK216" s="3">
        <f t="shared" si="76"/>
        <v>0.53699033207229929</v>
      </c>
      <c r="AL216" s="3">
        <f t="shared" si="77"/>
        <v>20.942622950819672</v>
      </c>
      <c r="AM216" s="3">
        <f t="shared" si="78"/>
        <v>52.356557377049178</v>
      </c>
      <c r="AN216" s="3">
        <f t="shared" si="79"/>
        <v>26.178278688524589</v>
      </c>
      <c r="AO216" s="3">
        <f t="shared" si="80"/>
        <v>78.534836065573771</v>
      </c>
      <c r="AP216" s="1" t="str">
        <f>INDEX({"EAD";"EAD";"EAD";"EAD MOOC";"EAD";"EAD";"EAD FP";"EAD";"PRESENCIAL";"PRESENCIAL";"PRESENCIAL";"PRESENCIAL"}, MATCH(CONCATENATE(E216, ".", F216),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17" spans="1:42" x14ac:dyDescent="0.25">
      <c r="A217" s="1" t="s">
        <v>27</v>
      </c>
      <c r="B217" s="1" t="s">
        <v>37</v>
      </c>
      <c r="C217" s="1" t="s">
        <v>29</v>
      </c>
      <c r="D217" s="1" t="s">
        <v>38</v>
      </c>
      <c r="E217" s="1" t="s">
        <v>170</v>
      </c>
      <c r="F217" s="1" t="s">
        <v>21</v>
      </c>
      <c r="G217" s="1" t="s">
        <v>128</v>
      </c>
      <c r="H217" s="1" t="s">
        <v>171</v>
      </c>
      <c r="I217" s="1" t="s">
        <v>172</v>
      </c>
      <c r="J217" s="1" t="s">
        <v>125</v>
      </c>
      <c r="K217" s="1" t="s">
        <v>163</v>
      </c>
      <c r="L217" s="1">
        <v>2957155</v>
      </c>
      <c r="M217" s="1" t="s">
        <v>389</v>
      </c>
      <c r="N217" s="5">
        <f>DATE(2023,3,3)</f>
        <v>44988</v>
      </c>
      <c r="O217" s="5">
        <f>DATE(2024,10,31)</f>
        <v>45596</v>
      </c>
      <c r="P217" s="5">
        <f t="shared" si="61"/>
        <v>46691</v>
      </c>
      <c r="Q217" s="1">
        <v>1200</v>
      </c>
      <c r="R217" s="1">
        <v>1200</v>
      </c>
      <c r="S217" s="1">
        <f t="shared" si="62"/>
        <v>1200</v>
      </c>
      <c r="T217" s="1">
        <v>2</v>
      </c>
      <c r="U217" s="1" t="str">
        <f t="shared" si="63"/>
        <v>SIM</v>
      </c>
      <c r="V217" s="1">
        <f t="shared" si="64"/>
        <v>609</v>
      </c>
      <c r="W217" s="4">
        <f t="shared" si="65"/>
        <v>1.9704433497536946</v>
      </c>
      <c r="X217" s="4">
        <f t="shared" si="66"/>
        <v>719.21182266009851</v>
      </c>
      <c r="Y217" s="4">
        <f t="shared" si="67"/>
        <v>0.89901477832512311</v>
      </c>
      <c r="AB217" s="5">
        <f t="shared" si="68"/>
        <v>45292</v>
      </c>
      <c r="AC217" s="5">
        <f t="shared" si="69"/>
        <v>45657</v>
      </c>
      <c r="AD217" s="1">
        <v>10</v>
      </c>
      <c r="AE217" s="1">
        <f t="shared" si="70"/>
        <v>0</v>
      </c>
      <c r="AF217" s="1">
        <f t="shared" si="71"/>
        <v>0</v>
      </c>
      <c r="AG217" s="1">
        <f t="shared" si="72"/>
        <v>305</v>
      </c>
      <c r="AH217" s="1">
        <f t="shared" si="73"/>
        <v>0</v>
      </c>
      <c r="AI217" s="1">
        <f t="shared" si="74"/>
        <v>0</v>
      </c>
      <c r="AJ217" s="3">
        <f t="shared" si="75"/>
        <v>0.83333333333333337</v>
      </c>
      <c r="AK217" s="3">
        <f t="shared" si="76"/>
        <v>0.74917898193760257</v>
      </c>
      <c r="AL217" s="3">
        <f t="shared" si="77"/>
        <v>7.4917898193760255</v>
      </c>
      <c r="AM217" s="3">
        <f t="shared" si="78"/>
        <v>14.983579638752051</v>
      </c>
      <c r="AN217" s="3">
        <f t="shared" si="79"/>
        <v>0</v>
      </c>
      <c r="AO217" s="3">
        <f t="shared" si="80"/>
        <v>14.983579638752051</v>
      </c>
      <c r="AP217" s="1" t="str">
        <f>INDEX({"EAD";"EAD";"EAD";"EAD MOOC";"EAD";"EAD";"EAD FP";"EAD";"PRESENCIAL";"PRESENCIAL";"PRESENCIAL";"PRESENCIAL"}, MATCH(CONCATENATE(E217, ".", F217),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218" spans="1:42" x14ac:dyDescent="0.25">
      <c r="A218" s="1" t="s">
        <v>27</v>
      </c>
      <c r="B218" s="1" t="s">
        <v>37</v>
      </c>
      <c r="C218" s="1" t="s">
        <v>29</v>
      </c>
      <c r="D218" s="1" t="s">
        <v>38</v>
      </c>
      <c r="E218" s="1" t="s">
        <v>170</v>
      </c>
      <c r="F218" s="1" t="s">
        <v>21</v>
      </c>
      <c r="G218" s="1" t="s">
        <v>128</v>
      </c>
      <c r="H218" s="1" t="s">
        <v>174</v>
      </c>
      <c r="I218" s="1" t="s">
        <v>172</v>
      </c>
      <c r="J218" s="1" t="s">
        <v>125</v>
      </c>
      <c r="K218" s="1" t="s">
        <v>163</v>
      </c>
      <c r="L218" s="1">
        <v>2957157</v>
      </c>
      <c r="M218" s="1" t="s">
        <v>390</v>
      </c>
      <c r="N218" s="5">
        <f>DATE(2023,3,3)</f>
        <v>44988</v>
      </c>
      <c r="O218" s="5">
        <f>DATE(2024,10,31)</f>
        <v>45596</v>
      </c>
      <c r="P218" s="5">
        <f t="shared" si="61"/>
        <v>46691</v>
      </c>
      <c r="Q218" s="1">
        <v>1200</v>
      </c>
      <c r="R218" s="1">
        <v>1200</v>
      </c>
      <c r="S218" s="1">
        <f t="shared" si="62"/>
        <v>1200</v>
      </c>
      <c r="T218" s="1">
        <v>1</v>
      </c>
      <c r="U218" s="1" t="str">
        <f t="shared" si="63"/>
        <v>SIM</v>
      </c>
      <c r="V218" s="1">
        <f t="shared" si="64"/>
        <v>609</v>
      </c>
      <c r="W218" s="4">
        <f t="shared" si="65"/>
        <v>1.9704433497536946</v>
      </c>
      <c r="X218" s="4">
        <f t="shared" si="66"/>
        <v>719.21182266009851</v>
      </c>
      <c r="Y218" s="4">
        <f t="shared" si="67"/>
        <v>0.89901477832512311</v>
      </c>
      <c r="AB218" s="5">
        <f t="shared" si="68"/>
        <v>45292</v>
      </c>
      <c r="AC218" s="5">
        <f t="shared" si="69"/>
        <v>45657</v>
      </c>
      <c r="AD218" s="1">
        <v>15</v>
      </c>
      <c r="AE218" s="1">
        <f t="shared" si="70"/>
        <v>0</v>
      </c>
      <c r="AF218" s="1">
        <f t="shared" si="71"/>
        <v>0</v>
      </c>
      <c r="AG218" s="1">
        <f t="shared" si="72"/>
        <v>305</v>
      </c>
      <c r="AH218" s="1">
        <f t="shared" si="73"/>
        <v>0</v>
      </c>
      <c r="AI218" s="1">
        <f t="shared" si="74"/>
        <v>0</v>
      </c>
      <c r="AJ218" s="3">
        <f t="shared" si="75"/>
        <v>0.83333333333333337</v>
      </c>
      <c r="AK218" s="3">
        <f t="shared" si="76"/>
        <v>0.74917898193760257</v>
      </c>
      <c r="AL218" s="3">
        <f t="shared" si="77"/>
        <v>11.237684729064039</v>
      </c>
      <c r="AM218" s="3">
        <f t="shared" si="78"/>
        <v>11.237684729064039</v>
      </c>
      <c r="AN218" s="3">
        <f t="shared" si="79"/>
        <v>0</v>
      </c>
      <c r="AO218" s="3">
        <f t="shared" si="80"/>
        <v>11.237684729064039</v>
      </c>
      <c r="AP218" s="1" t="str">
        <f>INDEX({"EAD";"EAD";"EAD";"EAD MOOC";"EAD";"EAD";"EAD FP";"EAD";"PRESENCIAL";"PRESENCIAL";"PRESENCIAL";"PRESENCIAL"}, MATCH(CONCATENATE(E218, ".", F218),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219" spans="1:42" x14ac:dyDescent="0.25">
      <c r="A219" s="1" t="s">
        <v>27</v>
      </c>
      <c r="B219" s="1" t="s">
        <v>37</v>
      </c>
      <c r="C219" s="1" t="s">
        <v>29</v>
      </c>
      <c r="D219" s="1" t="s">
        <v>38</v>
      </c>
      <c r="E219" s="1" t="s">
        <v>170</v>
      </c>
      <c r="F219" s="1" t="s">
        <v>21</v>
      </c>
      <c r="G219" s="1" t="s">
        <v>128</v>
      </c>
      <c r="H219" s="1" t="s">
        <v>176</v>
      </c>
      <c r="I219" s="1" t="s">
        <v>172</v>
      </c>
      <c r="J219" s="1" t="s">
        <v>125</v>
      </c>
      <c r="K219" s="1" t="s">
        <v>163</v>
      </c>
      <c r="L219" s="1">
        <v>2957160</v>
      </c>
      <c r="M219" s="1" t="s">
        <v>391</v>
      </c>
      <c r="N219" s="5">
        <f>DATE(2023,3,3)</f>
        <v>44988</v>
      </c>
      <c r="O219" s="5">
        <f>DATE(2024,10,31)</f>
        <v>45596</v>
      </c>
      <c r="P219" s="5">
        <f t="shared" si="61"/>
        <v>46691</v>
      </c>
      <c r="Q219" s="1">
        <v>1200</v>
      </c>
      <c r="R219" s="1">
        <v>800</v>
      </c>
      <c r="S219" s="1">
        <f t="shared" si="62"/>
        <v>800</v>
      </c>
      <c r="T219" s="1">
        <v>1.5</v>
      </c>
      <c r="U219" s="1" t="str">
        <f t="shared" si="63"/>
        <v>SIM</v>
      </c>
      <c r="V219" s="1">
        <f t="shared" si="64"/>
        <v>609</v>
      </c>
      <c r="W219" s="4">
        <f t="shared" si="65"/>
        <v>1.3136288998357963</v>
      </c>
      <c r="X219" s="4">
        <f t="shared" si="66"/>
        <v>479.47454844006569</v>
      </c>
      <c r="Y219" s="4">
        <f t="shared" si="67"/>
        <v>0.59934318555008215</v>
      </c>
      <c r="AB219" s="5">
        <f t="shared" si="68"/>
        <v>45292</v>
      </c>
      <c r="AC219" s="5">
        <f t="shared" si="69"/>
        <v>45657</v>
      </c>
      <c r="AD219" s="1">
        <v>3</v>
      </c>
      <c r="AE219" s="1">
        <f t="shared" si="70"/>
        <v>0</v>
      </c>
      <c r="AF219" s="1">
        <f t="shared" si="71"/>
        <v>0</v>
      </c>
      <c r="AG219" s="1">
        <f t="shared" si="72"/>
        <v>305</v>
      </c>
      <c r="AH219" s="1">
        <f t="shared" si="73"/>
        <v>0</v>
      </c>
      <c r="AI219" s="1">
        <f t="shared" si="74"/>
        <v>0</v>
      </c>
      <c r="AJ219" s="3">
        <f t="shared" si="75"/>
        <v>0.83333333333333337</v>
      </c>
      <c r="AK219" s="3">
        <f t="shared" si="76"/>
        <v>0.49945265462506849</v>
      </c>
      <c r="AL219" s="3">
        <f t="shared" si="77"/>
        <v>1.4983579638752054</v>
      </c>
      <c r="AM219" s="3">
        <f t="shared" si="78"/>
        <v>2.2475369458128078</v>
      </c>
      <c r="AN219" s="3">
        <f t="shared" si="79"/>
        <v>0</v>
      </c>
      <c r="AO219" s="3">
        <f t="shared" si="80"/>
        <v>2.2475369458128078</v>
      </c>
      <c r="AP219" s="1" t="str">
        <f>INDEX({"EAD";"EAD";"EAD";"EAD MOOC";"EAD";"EAD";"EAD FP";"EAD";"PRESENCIAL";"PRESENCIAL";"PRESENCIAL";"PRESENCIAL"}, MATCH(CONCATENATE(E219, ".", F219),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220" spans="1:42" x14ac:dyDescent="0.25">
      <c r="A220" s="1" t="s">
        <v>27</v>
      </c>
      <c r="B220" s="1" t="s">
        <v>37</v>
      </c>
      <c r="C220" s="1" t="s">
        <v>29</v>
      </c>
      <c r="D220" s="1" t="s">
        <v>38</v>
      </c>
      <c r="E220" s="1" t="s">
        <v>120</v>
      </c>
      <c r="F220" s="1" t="s">
        <v>21</v>
      </c>
      <c r="G220" s="1" t="s">
        <v>121</v>
      </c>
      <c r="H220" s="1" t="s">
        <v>322</v>
      </c>
      <c r="I220" s="1" t="s">
        <v>107</v>
      </c>
      <c r="J220" s="1" t="s">
        <v>108</v>
      </c>
      <c r="K220" s="1" t="s">
        <v>109</v>
      </c>
      <c r="L220" s="1">
        <v>3011704</v>
      </c>
      <c r="M220" s="1" t="s">
        <v>392</v>
      </c>
      <c r="N220" s="5">
        <f>DATE(2023,7,26)</f>
        <v>45133</v>
      </c>
      <c r="O220" s="5">
        <f>DATE(2028,7,23)</f>
        <v>46957</v>
      </c>
      <c r="P220" s="5">
        <f t="shared" si="61"/>
        <v>48052</v>
      </c>
      <c r="Q220" s="1">
        <v>3683</v>
      </c>
      <c r="R220" s="1">
        <v>3600</v>
      </c>
      <c r="S220" s="1">
        <f t="shared" si="62"/>
        <v>3600</v>
      </c>
      <c r="T220" s="1">
        <v>2.5</v>
      </c>
      <c r="U220" s="1" t="str">
        <f t="shared" si="63"/>
        <v>SIM</v>
      </c>
      <c r="V220" s="1">
        <f t="shared" si="64"/>
        <v>1825</v>
      </c>
      <c r="W220" s="4">
        <f t="shared" si="65"/>
        <v>1.9726027397260273</v>
      </c>
      <c r="X220" s="4">
        <f t="shared" si="66"/>
        <v>720</v>
      </c>
      <c r="Y220" s="4">
        <f t="shared" si="67"/>
        <v>0.9</v>
      </c>
      <c r="AB220" s="5">
        <f t="shared" si="68"/>
        <v>45292</v>
      </c>
      <c r="AC220" s="5">
        <f t="shared" si="69"/>
        <v>45657</v>
      </c>
      <c r="AD220" s="1">
        <v>34</v>
      </c>
      <c r="AE220" s="1">
        <f t="shared" si="70"/>
        <v>366</v>
      </c>
      <c r="AF220" s="1">
        <f t="shared" si="71"/>
        <v>0</v>
      </c>
      <c r="AG220" s="1">
        <f t="shared" si="72"/>
        <v>0</v>
      </c>
      <c r="AH220" s="1">
        <f t="shared" si="73"/>
        <v>0</v>
      </c>
      <c r="AI220" s="1">
        <f t="shared" si="74"/>
        <v>0</v>
      </c>
      <c r="AJ220" s="3">
        <f t="shared" si="75"/>
        <v>1</v>
      </c>
      <c r="AK220" s="3">
        <f t="shared" si="76"/>
        <v>0.9</v>
      </c>
      <c r="AL220" s="3">
        <f t="shared" si="77"/>
        <v>30.6</v>
      </c>
      <c r="AM220" s="3">
        <f t="shared" si="78"/>
        <v>76.5</v>
      </c>
      <c r="AN220" s="3">
        <f t="shared" si="79"/>
        <v>38.25</v>
      </c>
      <c r="AO220" s="3">
        <f t="shared" si="80"/>
        <v>114.75</v>
      </c>
      <c r="AP220" s="1" t="str">
        <f>INDEX({"EAD";"EAD";"EAD";"EAD MOOC";"EAD";"EAD";"EAD FP";"EAD";"PRESENCIAL";"PRESENCIAL";"PRESENCIAL";"PRESENCIAL"}, MATCH(CONCATENATE(E220, ".", F220),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21" spans="1:42" x14ac:dyDescent="0.25">
      <c r="A221" s="1" t="s">
        <v>27</v>
      </c>
      <c r="B221" s="1" t="s">
        <v>37</v>
      </c>
      <c r="C221" s="1" t="s">
        <v>29</v>
      </c>
      <c r="D221" s="1" t="s">
        <v>38</v>
      </c>
      <c r="E221" s="1" t="s">
        <v>120</v>
      </c>
      <c r="F221" s="1" t="s">
        <v>21</v>
      </c>
      <c r="G221" s="1" t="s">
        <v>128</v>
      </c>
      <c r="H221" s="1" t="s">
        <v>132</v>
      </c>
      <c r="I221" s="1" t="s">
        <v>107</v>
      </c>
      <c r="J221" s="1" t="s">
        <v>108</v>
      </c>
      <c r="K221" s="1" t="s">
        <v>130</v>
      </c>
      <c r="L221" s="1">
        <v>3080071</v>
      </c>
      <c r="M221" s="1" t="s">
        <v>393</v>
      </c>
      <c r="N221" s="5">
        <f t="shared" ref="N221:N226" si="82">DATE(2024,2,1)</f>
        <v>45323</v>
      </c>
      <c r="O221" s="5">
        <f>DATE(2026,12,20)</f>
        <v>46376</v>
      </c>
      <c r="P221" s="5">
        <f t="shared" si="61"/>
        <v>47471</v>
      </c>
      <c r="Q221" s="1">
        <v>3060</v>
      </c>
      <c r="R221" s="1">
        <v>1200</v>
      </c>
      <c r="S221" s="1">
        <f t="shared" si="62"/>
        <v>3200</v>
      </c>
      <c r="T221" s="1">
        <v>2.5</v>
      </c>
      <c r="U221" s="1" t="str">
        <f t="shared" si="63"/>
        <v>SIM</v>
      </c>
      <c r="V221" s="1">
        <f t="shared" si="64"/>
        <v>1054</v>
      </c>
      <c r="W221" s="4">
        <f t="shared" si="65"/>
        <v>2.903225806451613</v>
      </c>
      <c r="X221" s="4">
        <f t="shared" si="66"/>
        <v>1059.6774193548388</v>
      </c>
      <c r="Y221" s="4">
        <f t="shared" si="67"/>
        <v>1.3245967741935485</v>
      </c>
      <c r="AB221" s="5">
        <f t="shared" si="68"/>
        <v>45292</v>
      </c>
      <c r="AC221" s="5">
        <f t="shared" si="69"/>
        <v>45657</v>
      </c>
      <c r="AD221" s="1">
        <v>104</v>
      </c>
      <c r="AE221" s="1">
        <f t="shared" si="70"/>
        <v>0</v>
      </c>
      <c r="AF221" s="1">
        <f t="shared" si="71"/>
        <v>335</v>
      </c>
      <c r="AG221" s="1">
        <f t="shared" si="72"/>
        <v>0</v>
      </c>
      <c r="AH221" s="1">
        <f t="shared" si="73"/>
        <v>0</v>
      </c>
      <c r="AI221" s="1">
        <f t="shared" si="74"/>
        <v>0</v>
      </c>
      <c r="AJ221" s="3">
        <f t="shared" si="75"/>
        <v>0.91530054644808745</v>
      </c>
      <c r="AK221" s="3">
        <f t="shared" si="76"/>
        <v>1.2124041512427288</v>
      </c>
      <c r="AL221" s="3">
        <f t="shared" si="77"/>
        <v>126.0900317292438</v>
      </c>
      <c r="AM221" s="3">
        <f t="shared" si="78"/>
        <v>315.22507932310953</v>
      </c>
      <c r="AN221" s="3">
        <f t="shared" si="79"/>
        <v>157.61253966155476</v>
      </c>
      <c r="AO221" s="3">
        <f t="shared" si="80"/>
        <v>472.83761898466429</v>
      </c>
      <c r="AP221" s="1" t="str">
        <f>INDEX({"EAD";"EAD";"EAD";"EAD MOOC";"EAD";"EAD";"EAD FP";"EAD";"PRESENCIAL";"PRESENCIAL";"PRESENCIAL";"PRESENCIAL"}, MATCH(CONCATENATE(E221, ".", F221),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22" spans="1:42" x14ac:dyDescent="0.25">
      <c r="A222" s="1" t="s">
        <v>27</v>
      </c>
      <c r="B222" s="1" t="s">
        <v>37</v>
      </c>
      <c r="C222" s="1" t="s">
        <v>29</v>
      </c>
      <c r="D222" s="1" t="s">
        <v>38</v>
      </c>
      <c r="E222" s="1" t="s">
        <v>120</v>
      </c>
      <c r="F222" s="1" t="s">
        <v>21</v>
      </c>
      <c r="G222" s="1" t="s">
        <v>128</v>
      </c>
      <c r="H222" s="1" t="s">
        <v>343</v>
      </c>
      <c r="I222" s="1" t="s">
        <v>209</v>
      </c>
      <c r="J222" s="1" t="s">
        <v>125</v>
      </c>
      <c r="K222" s="1" t="s">
        <v>130</v>
      </c>
      <c r="L222" s="1">
        <v>3080079</v>
      </c>
      <c r="M222" s="1" t="s">
        <v>394</v>
      </c>
      <c r="N222" s="5">
        <f t="shared" si="82"/>
        <v>45323</v>
      </c>
      <c r="O222" s="5">
        <f>DATE(2026,12,20)</f>
        <v>46376</v>
      </c>
      <c r="P222" s="5">
        <f t="shared" si="61"/>
        <v>47471</v>
      </c>
      <c r="Q222" s="1">
        <v>3060</v>
      </c>
      <c r="R222" s="1">
        <v>1000</v>
      </c>
      <c r="S222" s="1">
        <f t="shared" si="62"/>
        <v>3100</v>
      </c>
      <c r="T222" s="1">
        <v>1.5</v>
      </c>
      <c r="U222" s="1" t="str">
        <f t="shared" si="63"/>
        <v>SIM</v>
      </c>
      <c r="V222" s="1">
        <f t="shared" si="64"/>
        <v>1054</v>
      </c>
      <c r="W222" s="4">
        <f t="shared" si="65"/>
        <v>2.903225806451613</v>
      </c>
      <c r="X222" s="4">
        <f t="shared" si="66"/>
        <v>1059.6774193548388</v>
      </c>
      <c r="Y222" s="4">
        <f t="shared" si="67"/>
        <v>1.3245967741935485</v>
      </c>
      <c r="AB222" s="5">
        <f t="shared" si="68"/>
        <v>45292</v>
      </c>
      <c r="AC222" s="5">
        <f t="shared" si="69"/>
        <v>45657</v>
      </c>
      <c r="AD222" s="1">
        <v>34</v>
      </c>
      <c r="AE222" s="1">
        <f t="shared" si="70"/>
        <v>0</v>
      </c>
      <c r="AF222" s="1">
        <f t="shared" si="71"/>
        <v>335</v>
      </c>
      <c r="AG222" s="1">
        <f t="shared" si="72"/>
        <v>0</v>
      </c>
      <c r="AH222" s="1">
        <f t="shared" si="73"/>
        <v>0</v>
      </c>
      <c r="AI222" s="1">
        <f t="shared" si="74"/>
        <v>0</v>
      </c>
      <c r="AJ222" s="3">
        <f t="shared" si="75"/>
        <v>0.91530054644808745</v>
      </c>
      <c r="AK222" s="3">
        <f t="shared" si="76"/>
        <v>1.2124041512427288</v>
      </c>
      <c r="AL222" s="3">
        <f t="shared" si="77"/>
        <v>41.221741142252782</v>
      </c>
      <c r="AM222" s="3">
        <f t="shared" si="78"/>
        <v>61.832611713379173</v>
      </c>
      <c r="AN222" s="3">
        <f t="shared" si="79"/>
        <v>0</v>
      </c>
      <c r="AO222" s="3">
        <f t="shared" si="80"/>
        <v>61.832611713379173</v>
      </c>
      <c r="AP222" s="1" t="str">
        <f>INDEX({"EAD";"EAD";"EAD";"EAD MOOC";"EAD";"EAD";"EAD FP";"EAD";"PRESENCIAL";"PRESENCIAL";"PRESENCIAL";"PRESENCIAL"}, MATCH(CONCATENATE(E222, ".", F222),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23" spans="1:42" x14ac:dyDescent="0.25">
      <c r="A223" s="1" t="s">
        <v>27</v>
      </c>
      <c r="B223" s="1" t="s">
        <v>37</v>
      </c>
      <c r="C223" s="1" t="s">
        <v>29</v>
      </c>
      <c r="D223" s="1" t="s">
        <v>38</v>
      </c>
      <c r="E223" s="1" t="s">
        <v>120</v>
      </c>
      <c r="F223" s="1" t="s">
        <v>21</v>
      </c>
      <c r="G223" s="1" t="s">
        <v>121</v>
      </c>
      <c r="H223" s="1" t="s">
        <v>322</v>
      </c>
      <c r="I223" s="1" t="s">
        <v>107</v>
      </c>
      <c r="J223" s="1" t="s">
        <v>108</v>
      </c>
      <c r="K223" s="1" t="s">
        <v>109</v>
      </c>
      <c r="L223" s="1">
        <v>3102291</v>
      </c>
      <c r="M223" s="1" t="s">
        <v>395</v>
      </c>
      <c r="N223" s="5">
        <f t="shared" si="82"/>
        <v>45323</v>
      </c>
      <c r="O223" s="5">
        <f>DATE(2028,12,31)</f>
        <v>47118</v>
      </c>
      <c r="P223" s="5">
        <f t="shared" si="61"/>
        <v>48213</v>
      </c>
      <c r="Q223" s="1">
        <v>3683</v>
      </c>
      <c r="R223" s="1">
        <v>3600</v>
      </c>
      <c r="S223" s="1">
        <f t="shared" si="62"/>
        <v>3600</v>
      </c>
      <c r="T223" s="1">
        <v>2.5</v>
      </c>
      <c r="U223" s="1" t="str">
        <f t="shared" si="63"/>
        <v>SIM</v>
      </c>
      <c r="V223" s="1">
        <f t="shared" si="64"/>
        <v>1796</v>
      </c>
      <c r="W223" s="4">
        <f t="shared" si="65"/>
        <v>2.0044543429844097</v>
      </c>
      <c r="X223" s="4">
        <f t="shared" si="66"/>
        <v>731.62583518930956</v>
      </c>
      <c r="Y223" s="4">
        <f t="shared" si="67"/>
        <v>0.91453229398663693</v>
      </c>
      <c r="AB223" s="5">
        <f t="shared" si="68"/>
        <v>45292</v>
      </c>
      <c r="AC223" s="5">
        <f t="shared" si="69"/>
        <v>45657</v>
      </c>
      <c r="AD223" s="1">
        <v>35</v>
      </c>
      <c r="AE223" s="1">
        <f t="shared" si="70"/>
        <v>0</v>
      </c>
      <c r="AF223" s="1">
        <f t="shared" si="71"/>
        <v>335</v>
      </c>
      <c r="AG223" s="1">
        <f t="shared" si="72"/>
        <v>0</v>
      </c>
      <c r="AH223" s="1">
        <f t="shared" si="73"/>
        <v>0</v>
      </c>
      <c r="AI223" s="1">
        <f t="shared" si="74"/>
        <v>0</v>
      </c>
      <c r="AJ223" s="3">
        <f t="shared" si="75"/>
        <v>0.91530054644808745</v>
      </c>
      <c r="AK223" s="3">
        <f t="shared" si="76"/>
        <v>0.8370719084303917</v>
      </c>
      <c r="AL223" s="3">
        <f t="shared" si="77"/>
        <v>29.297516795063711</v>
      </c>
      <c r="AM223" s="3">
        <f t="shared" si="78"/>
        <v>73.243791987659279</v>
      </c>
      <c r="AN223" s="3">
        <f t="shared" si="79"/>
        <v>36.621895993829639</v>
      </c>
      <c r="AO223" s="3">
        <f t="shared" si="80"/>
        <v>109.86568798148892</v>
      </c>
      <c r="AP223" s="1" t="str">
        <f>INDEX({"EAD";"EAD";"EAD";"EAD MOOC";"EAD";"EAD";"EAD FP";"EAD";"PRESENCIAL";"PRESENCIAL";"PRESENCIAL";"PRESENCIAL"}, MATCH(CONCATENATE(E223, ".", F223),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24" spans="1:42" x14ac:dyDescent="0.25">
      <c r="A224" s="1" t="s">
        <v>27</v>
      </c>
      <c r="B224" s="1" t="s">
        <v>37</v>
      </c>
      <c r="C224" s="1" t="s">
        <v>29</v>
      </c>
      <c r="D224" s="1" t="s">
        <v>38</v>
      </c>
      <c r="E224" s="1" t="s">
        <v>120</v>
      </c>
      <c r="F224" s="1" t="s">
        <v>21</v>
      </c>
      <c r="G224" s="1" t="s">
        <v>140</v>
      </c>
      <c r="H224" s="1" t="s">
        <v>325</v>
      </c>
      <c r="I224" s="1" t="s">
        <v>228</v>
      </c>
      <c r="J224" s="1" t="s">
        <v>108</v>
      </c>
      <c r="K224" s="1" t="s">
        <v>109</v>
      </c>
      <c r="L224" s="1">
        <v>3102323</v>
      </c>
      <c r="M224" s="1" t="s">
        <v>396</v>
      </c>
      <c r="N224" s="5">
        <f t="shared" si="82"/>
        <v>45323</v>
      </c>
      <c r="O224" s="5">
        <f>DATE(2026,12,30)</f>
        <v>46386</v>
      </c>
      <c r="P224" s="5">
        <f t="shared" si="61"/>
        <v>47481</v>
      </c>
      <c r="Q224" s="1">
        <v>2439</v>
      </c>
      <c r="R224" s="1">
        <v>2400</v>
      </c>
      <c r="S224" s="1">
        <f t="shared" si="62"/>
        <v>2400</v>
      </c>
      <c r="T224" s="1">
        <v>2.5</v>
      </c>
      <c r="U224" s="1" t="str">
        <f t="shared" si="63"/>
        <v>SIM</v>
      </c>
      <c r="V224" s="1">
        <f t="shared" si="64"/>
        <v>1064</v>
      </c>
      <c r="W224" s="4">
        <f t="shared" si="65"/>
        <v>2.255639097744361</v>
      </c>
      <c r="X224" s="4">
        <f t="shared" si="66"/>
        <v>823.30827067669179</v>
      </c>
      <c r="Y224" s="4">
        <f t="shared" si="67"/>
        <v>1.0291353383458648</v>
      </c>
      <c r="AB224" s="5">
        <f t="shared" si="68"/>
        <v>45292</v>
      </c>
      <c r="AC224" s="5">
        <f t="shared" si="69"/>
        <v>45657</v>
      </c>
      <c r="AD224" s="1">
        <v>32</v>
      </c>
      <c r="AE224" s="1">
        <f t="shared" si="70"/>
        <v>0</v>
      </c>
      <c r="AF224" s="1">
        <f t="shared" si="71"/>
        <v>335</v>
      </c>
      <c r="AG224" s="1">
        <f t="shared" si="72"/>
        <v>0</v>
      </c>
      <c r="AH224" s="1">
        <f t="shared" si="73"/>
        <v>0</v>
      </c>
      <c r="AI224" s="1">
        <f t="shared" si="74"/>
        <v>0</v>
      </c>
      <c r="AJ224" s="3">
        <f t="shared" si="75"/>
        <v>0.91530054644808745</v>
      </c>
      <c r="AK224" s="3">
        <f t="shared" si="76"/>
        <v>0.94196813755700737</v>
      </c>
      <c r="AL224" s="3">
        <f t="shared" si="77"/>
        <v>30.142980401824236</v>
      </c>
      <c r="AM224" s="3">
        <f t="shared" si="78"/>
        <v>75.357451004560588</v>
      </c>
      <c r="AN224" s="3">
        <f t="shared" si="79"/>
        <v>37.678725502280294</v>
      </c>
      <c r="AO224" s="3">
        <f t="shared" si="80"/>
        <v>113.03617650684089</v>
      </c>
      <c r="AP224" s="1" t="str">
        <f>INDEX({"EAD";"EAD";"EAD";"EAD MOOC";"EAD";"EAD";"EAD FP";"EAD";"PRESENCIAL";"PRESENCIAL";"PRESENCIAL";"PRESENCIAL"}, MATCH(CONCATENATE(E224, ".", F224),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25" spans="1:42" x14ac:dyDescent="0.25">
      <c r="A225" s="1" t="s">
        <v>27</v>
      </c>
      <c r="B225" s="1" t="s">
        <v>37</v>
      </c>
      <c r="C225" s="1" t="s">
        <v>29</v>
      </c>
      <c r="D225" s="1" t="s">
        <v>38</v>
      </c>
      <c r="E225" s="1" t="s">
        <v>120</v>
      </c>
      <c r="F225" s="1" t="s">
        <v>21</v>
      </c>
      <c r="G225" s="1" t="s">
        <v>140</v>
      </c>
      <c r="H225" s="1" t="s">
        <v>332</v>
      </c>
      <c r="I225" s="1" t="s">
        <v>124</v>
      </c>
      <c r="J225" s="1" t="s">
        <v>125</v>
      </c>
      <c r="K225" s="1" t="s">
        <v>109</v>
      </c>
      <c r="L225" s="1">
        <v>3102332</v>
      </c>
      <c r="M225" s="1" t="s">
        <v>397</v>
      </c>
      <c r="N225" s="5">
        <f t="shared" si="82"/>
        <v>45323</v>
      </c>
      <c r="O225" s="5">
        <f>DATE(2026,6,30)</f>
        <v>46203</v>
      </c>
      <c r="P225" s="5">
        <f t="shared" si="61"/>
        <v>47298</v>
      </c>
      <c r="Q225" s="1">
        <v>1700</v>
      </c>
      <c r="R225" s="1">
        <v>1600</v>
      </c>
      <c r="S225" s="1">
        <f t="shared" si="62"/>
        <v>1600</v>
      </c>
      <c r="T225" s="1">
        <v>1</v>
      </c>
      <c r="U225" s="1" t="str">
        <f t="shared" si="63"/>
        <v>SIM</v>
      </c>
      <c r="V225" s="1">
        <f t="shared" si="64"/>
        <v>881</v>
      </c>
      <c r="W225" s="4">
        <f t="shared" si="65"/>
        <v>1.8161180476730987</v>
      </c>
      <c r="X225" s="4">
        <f t="shared" si="66"/>
        <v>662.88308740068101</v>
      </c>
      <c r="Y225" s="4">
        <f t="shared" si="67"/>
        <v>0.82860385925085123</v>
      </c>
      <c r="AB225" s="5">
        <f t="shared" si="68"/>
        <v>45292</v>
      </c>
      <c r="AC225" s="5">
        <f t="shared" si="69"/>
        <v>45657</v>
      </c>
      <c r="AD225" s="1">
        <v>23</v>
      </c>
      <c r="AE225" s="1">
        <f t="shared" si="70"/>
        <v>0</v>
      </c>
      <c r="AF225" s="1">
        <f t="shared" si="71"/>
        <v>335</v>
      </c>
      <c r="AG225" s="1">
        <f t="shared" si="72"/>
        <v>0</v>
      </c>
      <c r="AH225" s="1">
        <f t="shared" si="73"/>
        <v>0</v>
      </c>
      <c r="AI225" s="1">
        <f t="shared" si="74"/>
        <v>0</v>
      </c>
      <c r="AJ225" s="3">
        <f t="shared" si="75"/>
        <v>0.91530054644808745</v>
      </c>
      <c r="AK225" s="3">
        <f t="shared" si="76"/>
        <v>0.75842156516129822</v>
      </c>
      <c r="AL225" s="3">
        <f t="shared" si="77"/>
        <v>17.44369599870986</v>
      </c>
      <c r="AM225" s="3">
        <f t="shared" si="78"/>
        <v>17.44369599870986</v>
      </c>
      <c r="AN225" s="3">
        <f t="shared" si="79"/>
        <v>0</v>
      </c>
      <c r="AO225" s="3">
        <f t="shared" si="80"/>
        <v>17.44369599870986</v>
      </c>
      <c r="AP225" s="1" t="str">
        <f>INDEX({"EAD";"EAD";"EAD";"EAD MOOC";"EAD";"EAD";"EAD FP";"EAD";"PRESENCIAL";"PRESENCIAL";"PRESENCIAL";"PRESENCIAL"}, MATCH(CONCATENATE(E225, ".", F225),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26" spans="1:42" x14ac:dyDescent="0.25">
      <c r="A226" s="1" t="s">
        <v>27</v>
      </c>
      <c r="B226" s="1" t="s">
        <v>37</v>
      </c>
      <c r="C226" s="1" t="s">
        <v>29</v>
      </c>
      <c r="D226" s="1" t="s">
        <v>38</v>
      </c>
      <c r="E226" s="1" t="s">
        <v>120</v>
      </c>
      <c r="F226" s="1" t="s">
        <v>21</v>
      </c>
      <c r="G226" s="1" t="s">
        <v>278</v>
      </c>
      <c r="H226" s="1" t="s">
        <v>320</v>
      </c>
      <c r="I226" s="1" t="s">
        <v>172</v>
      </c>
      <c r="J226" s="1" t="s">
        <v>125</v>
      </c>
      <c r="K226" s="1" t="s">
        <v>109</v>
      </c>
      <c r="L226" s="1">
        <v>3102633</v>
      </c>
      <c r="M226" s="1" t="s">
        <v>398</v>
      </c>
      <c r="N226" s="5">
        <f t="shared" si="82"/>
        <v>45323</v>
      </c>
      <c r="O226" s="5">
        <f>DATE(2027,12,30)</f>
        <v>46751</v>
      </c>
      <c r="P226" s="5">
        <f t="shared" si="61"/>
        <v>47846</v>
      </c>
      <c r="Q226" s="1">
        <v>3279</v>
      </c>
      <c r="R226" s="1">
        <v>3200</v>
      </c>
      <c r="S226" s="1">
        <f t="shared" si="62"/>
        <v>3200</v>
      </c>
      <c r="T226" s="1">
        <v>2.5</v>
      </c>
      <c r="U226" s="1" t="str">
        <f t="shared" si="63"/>
        <v>SIM</v>
      </c>
      <c r="V226" s="1">
        <f t="shared" si="64"/>
        <v>1429</v>
      </c>
      <c r="W226" s="4">
        <f t="shared" si="65"/>
        <v>2.2393282015395379</v>
      </c>
      <c r="X226" s="4">
        <f t="shared" si="66"/>
        <v>817.35479356193139</v>
      </c>
      <c r="Y226" s="4">
        <f t="shared" si="67"/>
        <v>1.0216934919524143</v>
      </c>
      <c r="AB226" s="5">
        <f t="shared" si="68"/>
        <v>45292</v>
      </c>
      <c r="AC226" s="5">
        <f t="shared" si="69"/>
        <v>45657</v>
      </c>
      <c r="AD226" s="1">
        <v>29</v>
      </c>
      <c r="AE226" s="1">
        <f t="shared" si="70"/>
        <v>0</v>
      </c>
      <c r="AF226" s="1">
        <f t="shared" si="71"/>
        <v>335</v>
      </c>
      <c r="AG226" s="1">
        <f t="shared" si="72"/>
        <v>0</v>
      </c>
      <c r="AH226" s="1">
        <f t="shared" si="73"/>
        <v>0</v>
      </c>
      <c r="AI226" s="1">
        <f t="shared" si="74"/>
        <v>0</v>
      </c>
      <c r="AJ226" s="3">
        <f t="shared" si="75"/>
        <v>0.91530054644808745</v>
      </c>
      <c r="AK226" s="3">
        <f t="shared" si="76"/>
        <v>0.93515661148649942</v>
      </c>
      <c r="AL226" s="3">
        <f t="shared" si="77"/>
        <v>27.119541733108484</v>
      </c>
      <c r="AM226" s="3">
        <f t="shared" si="78"/>
        <v>67.798854332771214</v>
      </c>
      <c r="AN226" s="3">
        <f t="shared" si="79"/>
        <v>0</v>
      </c>
      <c r="AO226" s="3">
        <f t="shared" si="80"/>
        <v>67.798854332771214</v>
      </c>
      <c r="AP226" s="1" t="str">
        <f>INDEX({"EAD";"EAD";"EAD";"EAD MOOC";"EAD";"EAD";"EAD FP";"EAD";"PRESENCIAL";"PRESENCIAL";"PRESENCIAL";"PRESENCIAL"}, MATCH(CONCATENATE(E226, ".", F226),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27" spans="1:42" x14ac:dyDescent="0.25">
      <c r="A227" s="1" t="s">
        <v>27</v>
      </c>
      <c r="B227" s="1" t="s">
        <v>41</v>
      </c>
      <c r="C227" s="1" t="s">
        <v>29</v>
      </c>
      <c r="D227" s="1" t="s">
        <v>42</v>
      </c>
      <c r="E227" s="1" t="s">
        <v>120</v>
      </c>
      <c r="F227" s="1" t="s">
        <v>21</v>
      </c>
      <c r="G227" s="1" t="s">
        <v>121</v>
      </c>
      <c r="H227" s="1" t="s">
        <v>322</v>
      </c>
      <c r="I227" s="1" t="s">
        <v>107</v>
      </c>
      <c r="J227" s="1" t="s">
        <v>108</v>
      </c>
      <c r="K227" s="1" t="s">
        <v>109</v>
      </c>
      <c r="L227" s="1">
        <v>389982</v>
      </c>
      <c r="M227" s="1" t="s">
        <v>399</v>
      </c>
      <c r="N227" s="5">
        <f>DATE(2010,4,26)</f>
        <v>40294</v>
      </c>
      <c r="O227" s="5">
        <f>DATE(2014,12,22)</f>
        <v>41995</v>
      </c>
      <c r="P227" s="5">
        <f t="shared" si="61"/>
        <v>43090</v>
      </c>
      <c r="Q227" s="1">
        <v>4400</v>
      </c>
      <c r="R227" s="1">
        <v>3600</v>
      </c>
      <c r="S227" s="1">
        <f t="shared" si="62"/>
        <v>3600</v>
      </c>
      <c r="T227" s="1">
        <v>2.5</v>
      </c>
      <c r="U227" s="1" t="str">
        <f t="shared" si="63"/>
        <v>NÃO</v>
      </c>
      <c r="V227" s="1">
        <f t="shared" si="64"/>
        <v>1702</v>
      </c>
      <c r="W227" s="4">
        <f t="shared" si="65"/>
        <v>2.1151586368977675</v>
      </c>
      <c r="X227" s="4">
        <f t="shared" si="66"/>
        <v>772.03290246768518</v>
      </c>
      <c r="Y227" s="4">
        <f t="shared" si="67"/>
        <v>0.96504112808460651</v>
      </c>
      <c r="AB227" s="5">
        <f t="shared" si="68"/>
        <v>45292</v>
      </c>
      <c r="AC227" s="5">
        <f t="shared" si="69"/>
        <v>45657</v>
      </c>
      <c r="AE227" s="1">
        <f t="shared" si="70"/>
        <v>0</v>
      </c>
      <c r="AF227" s="1">
        <f t="shared" si="71"/>
        <v>0</v>
      </c>
      <c r="AG227" s="1">
        <f t="shared" si="72"/>
        <v>0</v>
      </c>
      <c r="AH227" s="1">
        <f t="shared" si="73"/>
        <v>0</v>
      </c>
      <c r="AI227" s="1">
        <f t="shared" si="74"/>
        <v>183</v>
      </c>
      <c r="AJ227" s="3">
        <f t="shared" si="75"/>
        <v>0.5</v>
      </c>
      <c r="AK227" s="3">
        <f t="shared" si="76"/>
        <v>0.48252056404230326</v>
      </c>
      <c r="AL227" s="3">
        <f t="shared" si="77"/>
        <v>0</v>
      </c>
      <c r="AM227" s="3">
        <f t="shared" si="78"/>
        <v>0</v>
      </c>
      <c r="AN227" s="3">
        <f t="shared" si="79"/>
        <v>0</v>
      </c>
      <c r="AO227" s="3">
        <f t="shared" si="80"/>
        <v>0</v>
      </c>
      <c r="AP227" s="1" t="str">
        <f>INDEX({"EAD";"EAD";"EAD";"EAD MOOC";"EAD";"EAD";"EAD FP";"EAD";"PRESENCIAL";"PRESENCIAL";"PRESENCIAL";"PRESENCIAL"}, MATCH(CONCATENATE(E227, ".", F227),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28" spans="1:42" x14ac:dyDescent="0.25">
      <c r="A228" s="1" t="s">
        <v>27</v>
      </c>
      <c r="B228" s="1" t="s">
        <v>41</v>
      </c>
      <c r="C228" s="1" t="s">
        <v>29</v>
      </c>
      <c r="D228" s="1" t="s">
        <v>42</v>
      </c>
      <c r="E228" s="1" t="s">
        <v>120</v>
      </c>
      <c r="F228" s="1" t="s">
        <v>21</v>
      </c>
      <c r="G228" s="1" t="s">
        <v>121</v>
      </c>
      <c r="H228" s="1" t="s">
        <v>322</v>
      </c>
      <c r="I228" s="1" t="s">
        <v>107</v>
      </c>
      <c r="J228" s="1" t="s">
        <v>108</v>
      </c>
      <c r="K228" s="1" t="s">
        <v>109</v>
      </c>
      <c r="L228" s="1">
        <v>802703</v>
      </c>
      <c r="M228" s="1" t="s">
        <v>400</v>
      </c>
      <c r="N228" s="5">
        <f>DATE(2011,3,1)</f>
        <v>40603</v>
      </c>
      <c r="O228" s="5">
        <f>DATE(2015,12,22)</f>
        <v>42360</v>
      </c>
      <c r="P228" s="5">
        <f t="shared" si="61"/>
        <v>43455</v>
      </c>
      <c r="Q228" s="1">
        <v>4840</v>
      </c>
      <c r="R228" s="1">
        <v>3600</v>
      </c>
      <c r="S228" s="1">
        <f t="shared" si="62"/>
        <v>3600</v>
      </c>
      <c r="T228" s="1">
        <v>2.5</v>
      </c>
      <c r="U228" s="1" t="str">
        <f t="shared" si="63"/>
        <v>NÃO</v>
      </c>
      <c r="V228" s="1">
        <f t="shared" si="64"/>
        <v>1758</v>
      </c>
      <c r="W228" s="4">
        <f t="shared" si="65"/>
        <v>2.0477815699658701</v>
      </c>
      <c r="X228" s="4">
        <f t="shared" si="66"/>
        <v>747.44027303754262</v>
      </c>
      <c r="Y228" s="4">
        <f t="shared" si="67"/>
        <v>0.93430034129692829</v>
      </c>
      <c r="AB228" s="5">
        <f t="shared" si="68"/>
        <v>45292</v>
      </c>
      <c r="AC228" s="5">
        <f t="shared" si="69"/>
        <v>45657</v>
      </c>
      <c r="AE228" s="1">
        <f t="shared" si="70"/>
        <v>0</v>
      </c>
      <c r="AF228" s="1">
        <f t="shared" si="71"/>
        <v>0</v>
      </c>
      <c r="AG228" s="1">
        <f t="shared" si="72"/>
        <v>0</v>
      </c>
      <c r="AH228" s="1">
        <f t="shared" si="73"/>
        <v>0</v>
      </c>
      <c r="AI228" s="1">
        <f t="shared" si="74"/>
        <v>183</v>
      </c>
      <c r="AJ228" s="3">
        <f t="shared" si="75"/>
        <v>0.5</v>
      </c>
      <c r="AK228" s="3">
        <f t="shared" si="76"/>
        <v>0.46715017064846415</v>
      </c>
      <c r="AL228" s="3">
        <f t="shared" si="77"/>
        <v>0</v>
      </c>
      <c r="AM228" s="3">
        <f t="shared" si="78"/>
        <v>0</v>
      </c>
      <c r="AN228" s="3">
        <f t="shared" si="79"/>
        <v>0</v>
      </c>
      <c r="AO228" s="3">
        <f t="shared" si="80"/>
        <v>0</v>
      </c>
      <c r="AP228" s="1" t="str">
        <f>INDEX({"EAD";"EAD";"EAD";"EAD MOOC";"EAD";"EAD";"EAD FP";"EAD";"PRESENCIAL";"PRESENCIAL";"PRESENCIAL";"PRESENCIAL"}, MATCH(CONCATENATE(E228, ".", F228),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29" spans="1:42" x14ac:dyDescent="0.25">
      <c r="A229" s="1" t="s">
        <v>27</v>
      </c>
      <c r="B229" s="1" t="s">
        <v>41</v>
      </c>
      <c r="C229" s="1" t="s">
        <v>29</v>
      </c>
      <c r="D229" s="1" t="s">
        <v>42</v>
      </c>
      <c r="E229" s="1" t="s">
        <v>120</v>
      </c>
      <c r="F229" s="1" t="s">
        <v>21</v>
      </c>
      <c r="G229" s="1" t="s">
        <v>121</v>
      </c>
      <c r="H229" s="1" t="s">
        <v>322</v>
      </c>
      <c r="I229" s="1" t="s">
        <v>107</v>
      </c>
      <c r="J229" s="1" t="s">
        <v>108</v>
      </c>
      <c r="K229" s="1" t="s">
        <v>109</v>
      </c>
      <c r="L229" s="1">
        <v>1207913</v>
      </c>
      <c r="M229" s="1" t="s">
        <v>401</v>
      </c>
      <c r="N229" s="5">
        <f>DATE(2012,3,20)</f>
        <v>40988</v>
      </c>
      <c r="O229" s="5">
        <f>DATE(2016,12,23)</f>
        <v>42727</v>
      </c>
      <c r="P229" s="5">
        <f t="shared" si="61"/>
        <v>43822</v>
      </c>
      <c r="Q229" s="1">
        <v>4840</v>
      </c>
      <c r="R229" s="1">
        <v>3600</v>
      </c>
      <c r="S229" s="1">
        <f t="shared" si="62"/>
        <v>3600</v>
      </c>
      <c r="T229" s="1">
        <v>2.5</v>
      </c>
      <c r="U229" s="1" t="str">
        <f t="shared" si="63"/>
        <v>NÃO</v>
      </c>
      <c r="V229" s="1">
        <f t="shared" si="64"/>
        <v>1740</v>
      </c>
      <c r="W229" s="4">
        <f t="shared" si="65"/>
        <v>2.0689655172413794</v>
      </c>
      <c r="X229" s="4">
        <f t="shared" si="66"/>
        <v>755.17241379310349</v>
      </c>
      <c r="Y229" s="4">
        <f t="shared" si="67"/>
        <v>0.94396551724137934</v>
      </c>
      <c r="AB229" s="5">
        <f t="shared" si="68"/>
        <v>45292</v>
      </c>
      <c r="AC229" s="5">
        <f t="shared" si="69"/>
        <v>45657</v>
      </c>
      <c r="AD229" s="1">
        <v>2</v>
      </c>
      <c r="AE229" s="1">
        <f t="shared" si="70"/>
        <v>0</v>
      </c>
      <c r="AF229" s="1">
        <f t="shared" si="71"/>
        <v>0</v>
      </c>
      <c r="AG229" s="1">
        <f t="shared" si="72"/>
        <v>0</v>
      </c>
      <c r="AH229" s="1">
        <f t="shared" si="73"/>
        <v>0</v>
      </c>
      <c r="AI229" s="1">
        <f t="shared" si="74"/>
        <v>183</v>
      </c>
      <c r="AJ229" s="3">
        <f t="shared" si="75"/>
        <v>0.5</v>
      </c>
      <c r="AK229" s="3">
        <f t="shared" si="76"/>
        <v>0.47198275862068967</v>
      </c>
      <c r="AL229" s="3">
        <f t="shared" si="77"/>
        <v>0</v>
      </c>
      <c r="AM229" s="3">
        <f t="shared" si="78"/>
        <v>0</v>
      </c>
      <c r="AN229" s="3">
        <f t="shared" si="79"/>
        <v>0</v>
      </c>
      <c r="AO229" s="3">
        <f t="shared" si="80"/>
        <v>0</v>
      </c>
      <c r="AP229" s="1" t="str">
        <f>INDEX({"EAD";"EAD";"EAD";"EAD MOOC";"EAD";"EAD";"EAD FP";"EAD";"PRESENCIAL";"PRESENCIAL";"PRESENCIAL";"PRESENCIAL"}, MATCH(CONCATENATE(E229, ".", F229),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30" spans="1:42" x14ac:dyDescent="0.25">
      <c r="A230" s="1" t="s">
        <v>27</v>
      </c>
      <c r="B230" s="1" t="s">
        <v>41</v>
      </c>
      <c r="C230" s="1" t="s">
        <v>29</v>
      </c>
      <c r="D230" s="1" t="s">
        <v>42</v>
      </c>
      <c r="E230" s="1" t="s">
        <v>120</v>
      </c>
      <c r="F230" s="1" t="s">
        <v>21</v>
      </c>
      <c r="G230" s="1" t="s">
        <v>278</v>
      </c>
      <c r="H230" s="1" t="s">
        <v>279</v>
      </c>
      <c r="I230" s="1" t="s">
        <v>172</v>
      </c>
      <c r="J230" s="1" t="s">
        <v>125</v>
      </c>
      <c r="K230" s="1" t="s">
        <v>109</v>
      </c>
      <c r="L230" s="1">
        <v>1207916</v>
      </c>
      <c r="M230" s="1" t="s">
        <v>402</v>
      </c>
      <c r="N230" s="5">
        <f>DATE(2012,3,20)</f>
        <v>40988</v>
      </c>
      <c r="O230" s="5">
        <f>DATE(2015,12,21)</f>
        <v>42359</v>
      </c>
      <c r="P230" s="5">
        <f t="shared" si="61"/>
        <v>43454</v>
      </c>
      <c r="Q230" s="1">
        <v>3200</v>
      </c>
      <c r="R230" s="1">
        <v>3200</v>
      </c>
      <c r="S230" s="1">
        <f t="shared" si="62"/>
        <v>3200</v>
      </c>
      <c r="T230" s="1">
        <v>2.5</v>
      </c>
      <c r="U230" s="1" t="str">
        <f t="shared" si="63"/>
        <v>NÃO</v>
      </c>
      <c r="V230" s="1">
        <f t="shared" si="64"/>
        <v>1372</v>
      </c>
      <c r="W230" s="4">
        <f t="shared" si="65"/>
        <v>2.3323615160349855</v>
      </c>
      <c r="X230" s="4">
        <f t="shared" si="66"/>
        <v>851.31195335276971</v>
      </c>
      <c r="Y230" s="4">
        <f t="shared" si="67"/>
        <v>1.064139941690962</v>
      </c>
      <c r="AB230" s="5">
        <f t="shared" si="68"/>
        <v>45292</v>
      </c>
      <c r="AC230" s="5">
        <f t="shared" si="69"/>
        <v>45657</v>
      </c>
      <c r="AD230" s="1">
        <v>1</v>
      </c>
      <c r="AE230" s="1">
        <f t="shared" si="70"/>
        <v>0</v>
      </c>
      <c r="AF230" s="1">
        <f t="shared" si="71"/>
        <v>0</v>
      </c>
      <c r="AG230" s="1">
        <f t="shared" si="72"/>
        <v>0</v>
      </c>
      <c r="AH230" s="1">
        <f t="shared" si="73"/>
        <v>0</v>
      </c>
      <c r="AI230" s="1">
        <f t="shared" si="74"/>
        <v>183</v>
      </c>
      <c r="AJ230" s="3">
        <f t="shared" si="75"/>
        <v>0.5</v>
      </c>
      <c r="AK230" s="3">
        <f t="shared" si="76"/>
        <v>0.53206997084548102</v>
      </c>
      <c r="AL230" s="3">
        <f t="shared" si="77"/>
        <v>0</v>
      </c>
      <c r="AM230" s="3">
        <f t="shared" si="78"/>
        <v>0</v>
      </c>
      <c r="AN230" s="3">
        <f t="shared" si="79"/>
        <v>0</v>
      </c>
      <c r="AO230" s="3">
        <f t="shared" si="80"/>
        <v>0</v>
      </c>
      <c r="AP230" s="1" t="str">
        <f>INDEX({"EAD";"EAD";"EAD";"EAD MOOC";"EAD";"EAD";"EAD FP";"EAD";"PRESENCIAL";"PRESENCIAL";"PRESENCIAL";"PRESENCIAL"}, MATCH(CONCATENATE(E230, ".", F230),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31" spans="1:42" x14ac:dyDescent="0.25">
      <c r="A231" s="1" t="s">
        <v>27</v>
      </c>
      <c r="B231" s="1" t="s">
        <v>41</v>
      </c>
      <c r="C231" s="1" t="s">
        <v>29</v>
      </c>
      <c r="D231" s="1" t="s">
        <v>42</v>
      </c>
      <c r="E231" s="1" t="s">
        <v>120</v>
      </c>
      <c r="F231" s="1" t="s">
        <v>21</v>
      </c>
      <c r="G231" s="1" t="s">
        <v>121</v>
      </c>
      <c r="H231" s="1" t="s">
        <v>322</v>
      </c>
      <c r="I231" s="1" t="s">
        <v>107</v>
      </c>
      <c r="J231" s="1" t="s">
        <v>108</v>
      </c>
      <c r="K231" s="1" t="s">
        <v>109</v>
      </c>
      <c r="L231" s="1">
        <v>1985175</v>
      </c>
      <c r="M231" s="1" t="s">
        <v>403</v>
      </c>
      <c r="N231" s="5">
        <f>DATE(2015,3,2)</f>
        <v>42065</v>
      </c>
      <c r="O231" s="5">
        <f>DATE(2019,12,20)</f>
        <v>43819</v>
      </c>
      <c r="P231" s="5">
        <f t="shared" si="61"/>
        <v>44914</v>
      </c>
      <c r="Q231" s="1">
        <v>4080</v>
      </c>
      <c r="R231" s="1">
        <v>3600</v>
      </c>
      <c r="S231" s="1">
        <f t="shared" si="62"/>
        <v>3600</v>
      </c>
      <c r="T231" s="1">
        <v>2.5</v>
      </c>
      <c r="U231" s="1" t="str">
        <f t="shared" si="63"/>
        <v>NÃO</v>
      </c>
      <c r="V231" s="1">
        <f t="shared" si="64"/>
        <v>1755</v>
      </c>
      <c r="W231" s="4">
        <f t="shared" si="65"/>
        <v>2.0512820512820511</v>
      </c>
      <c r="X231" s="4">
        <f t="shared" si="66"/>
        <v>748.71794871794862</v>
      </c>
      <c r="Y231" s="4">
        <f t="shared" si="67"/>
        <v>0.93589743589743579</v>
      </c>
      <c r="AB231" s="5">
        <f t="shared" si="68"/>
        <v>45292</v>
      </c>
      <c r="AC231" s="5">
        <f t="shared" si="69"/>
        <v>45657</v>
      </c>
      <c r="AE231" s="1">
        <f t="shared" si="70"/>
        <v>0</v>
      </c>
      <c r="AF231" s="1">
        <f t="shared" si="71"/>
        <v>0</v>
      </c>
      <c r="AG231" s="1">
        <f t="shared" si="72"/>
        <v>0</v>
      </c>
      <c r="AH231" s="1">
        <f t="shared" si="73"/>
        <v>0</v>
      </c>
      <c r="AI231" s="1">
        <f t="shared" si="74"/>
        <v>183</v>
      </c>
      <c r="AJ231" s="3">
        <f t="shared" si="75"/>
        <v>0.5</v>
      </c>
      <c r="AK231" s="3">
        <f t="shared" si="76"/>
        <v>0.4679487179487179</v>
      </c>
      <c r="AL231" s="3">
        <f t="shared" si="77"/>
        <v>0</v>
      </c>
      <c r="AM231" s="3">
        <f t="shared" si="78"/>
        <v>0</v>
      </c>
      <c r="AN231" s="3">
        <f t="shared" si="79"/>
        <v>0</v>
      </c>
      <c r="AO231" s="3">
        <f t="shared" si="80"/>
        <v>0</v>
      </c>
      <c r="AP231" s="1" t="str">
        <f>INDEX({"EAD";"EAD";"EAD";"EAD MOOC";"EAD";"EAD";"EAD FP";"EAD";"PRESENCIAL";"PRESENCIAL";"PRESENCIAL";"PRESENCIAL"}, MATCH(CONCATENATE(E231, ".", F231),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32" spans="1:42" x14ac:dyDescent="0.25">
      <c r="A232" s="1" t="s">
        <v>27</v>
      </c>
      <c r="B232" s="1" t="s">
        <v>41</v>
      </c>
      <c r="C232" s="1" t="s">
        <v>29</v>
      </c>
      <c r="D232" s="1" t="s">
        <v>42</v>
      </c>
      <c r="E232" s="1" t="s">
        <v>120</v>
      </c>
      <c r="F232" s="1" t="s">
        <v>21</v>
      </c>
      <c r="G232" s="1" t="s">
        <v>121</v>
      </c>
      <c r="H232" s="1" t="s">
        <v>322</v>
      </c>
      <c r="I232" s="1" t="s">
        <v>107</v>
      </c>
      <c r="J232" s="1" t="s">
        <v>108</v>
      </c>
      <c r="K232" s="1" t="s">
        <v>109</v>
      </c>
      <c r="L232" s="1">
        <v>2025882</v>
      </c>
      <c r="M232" s="1" t="s">
        <v>404</v>
      </c>
      <c r="N232" s="5">
        <f>DATE(2016,4,18)</f>
        <v>42478</v>
      </c>
      <c r="O232" s="5">
        <f>DATE(2020,12,23)</f>
        <v>44188</v>
      </c>
      <c r="P232" s="5">
        <f t="shared" si="61"/>
        <v>45283</v>
      </c>
      <c r="Q232" s="1">
        <v>4039</v>
      </c>
      <c r="R232" s="1">
        <v>3600</v>
      </c>
      <c r="S232" s="1">
        <f t="shared" si="62"/>
        <v>3600</v>
      </c>
      <c r="T232" s="1">
        <v>2.5</v>
      </c>
      <c r="U232" s="1" t="str">
        <f t="shared" si="63"/>
        <v>NÃO</v>
      </c>
      <c r="V232" s="1">
        <f t="shared" si="64"/>
        <v>1711</v>
      </c>
      <c r="W232" s="4">
        <f t="shared" si="65"/>
        <v>2.1040327293980128</v>
      </c>
      <c r="X232" s="4">
        <f t="shared" si="66"/>
        <v>767.97194623027463</v>
      </c>
      <c r="Y232" s="4">
        <f t="shared" si="67"/>
        <v>0.95996493278784323</v>
      </c>
      <c r="AB232" s="5">
        <f t="shared" si="68"/>
        <v>45292</v>
      </c>
      <c r="AC232" s="5">
        <f t="shared" si="69"/>
        <v>45657</v>
      </c>
      <c r="AD232" s="1">
        <v>1</v>
      </c>
      <c r="AE232" s="1">
        <f t="shared" si="70"/>
        <v>0</v>
      </c>
      <c r="AF232" s="1">
        <f t="shared" si="71"/>
        <v>0</v>
      </c>
      <c r="AG232" s="1">
        <f t="shared" si="72"/>
        <v>0</v>
      </c>
      <c r="AH232" s="1">
        <f t="shared" si="73"/>
        <v>0</v>
      </c>
      <c r="AI232" s="1">
        <f t="shared" si="74"/>
        <v>183</v>
      </c>
      <c r="AJ232" s="3">
        <f t="shared" si="75"/>
        <v>0.5</v>
      </c>
      <c r="AK232" s="3">
        <f t="shared" si="76"/>
        <v>0.47998246639392161</v>
      </c>
      <c r="AL232" s="3">
        <f t="shared" si="77"/>
        <v>0</v>
      </c>
      <c r="AM232" s="3">
        <f t="shared" si="78"/>
        <v>0</v>
      </c>
      <c r="AN232" s="3">
        <f t="shared" si="79"/>
        <v>0</v>
      </c>
      <c r="AO232" s="3">
        <f t="shared" si="80"/>
        <v>0</v>
      </c>
      <c r="AP232" s="1" t="str">
        <f>INDEX({"EAD";"EAD";"EAD";"EAD MOOC";"EAD";"EAD";"EAD FP";"EAD";"PRESENCIAL";"PRESENCIAL";"PRESENCIAL";"PRESENCIAL"}, MATCH(CONCATENATE(E232, ".", F232),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33" spans="1:42" x14ac:dyDescent="0.25">
      <c r="A233" s="1" t="s">
        <v>27</v>
      </c>
      <c r="B233" s="1" t="s">
        <v>41</v>
      </c>
      <c r="C233" s="1" t="s">
        <v>29</v>
      </c>
      <c r="D233" s="1" t="s">
        <v>42</v>
      </c>
      <c r="E233" s="1" t="s">
        <v>120</v>
      </c>
      <c r="F233" s="1" t="s">
        <v>21</v>
      </c>
      <c r="G233" s="1" t="s">
        <v>278</v>
      </c>
      <c r="H233" s="1" t="s">
        <v>405</v>
      </c>
      <c r="I233" s="1" t="s">
        <v>172</v>
      </c>
      <c r="J233" s="1" t="s">
        <v>125</v>
      </c>
      <c r="K233" s="1" t="s">
        <v>109</v>
      </c>
      <c r="L233" s="1">
        <v>2025924</v>
      </c>
      <c r="M233" s="1" t="s">
        <v>406</v>
      </c>
      <c r="N233" s="5">
        <f>DATE(2016,4,18)</f>
        <v>42478</v>
      </c>
      <c r="O233" s="5">
        <f>DATE(2019,12,23)</f>
        <v>43822</v>
      </c>
      <c r="P233" s="5">
        <f t="shared" si="61"/>
        <v>44917</v>
      </c>
      <c r="Q233" s="1">
        <v>3144</v>
      </c>
      <c r="R233" s="1">
        <v>3200</v>
      </c>
      <c r="S233" s="1">
        <f t="shared" si="62"/>
        <v>3200</v>
      </c>
      <c r="T233" s="1">
        <v>2.5</v>
      </c>
      <c r="U233" s="1" t="str">
        <f t="shared" si="63"/>
        <v>NÃO</v>
      </c>
      <c r="V233" s="1">
        <f t="shared" si="64"/>
        <v>1345</v>
      </c>
      <c r="W233" s="4">
        <f t="shared" si="65"/>
        <v>2.3375464684014871</v>
      </c>
      <c r="X233" s="4">
        <f t="shared" si="66"/>
        <v>853.2044609665428</v>
      </c>
      <c r="Y233" s="4">
        <f t="shared" si="67"/>
        <v>1.0665055762081785</v>
      </c>
      <c r="AB233" s="5">
        <f t="shared" si="68"/>
        <v>45292</v>
      </c>
      <c r="AC233" s="5">
        <f t="shared" si="69"/>
        <v>45657</v>
      </c>
      <c r="AE233" s="1">
        <f t="shared" si="70"/>
        <v>0</v>
      </c>
      <c r="AF233" s="1">
        <f t="shared" si="71"/>
        <v>0</v>
      </c>
      <c r="AG233" s="1">
        <f t="shared" si="72"/>
        <v>0</v>
      </c>
      <c r="AH233" s="1">
        <f t="shared" si="73"/>
        <v>0</v>
      </c>
      <c r="AI233" s="1">
        <f t="shared" si="74"/>
        <v>183</v>
      </c>
      <c r="AJ233" s="3">
        <f t="shared" si="75"/>
        <v>0.5</v>
      </c>
      <c r="AK233" s="3">
        <f t="shared" si="76"/>
        <v>0.53325278810408927</v>
      </c>
      <c r="AL233" s="3">
        <f t="shared" si="77"/>
        <v>0</v>
      </c>
      <c r="AM233" s="3">
        <f t="shared" si="78"/>
        <v>0</v>
      </c>
      <c r="AN233" s="3">
        <f t="shared" si="79"/>
        <v>0</v>
      </c>
      <c r="AO233" s="3">
        <f t="shared" si="80"/>
        <v>0</v>
      </c>
      <c r="AP233" s="1" t="str">
        <f>INDEX({"EAD";"EAD";"EAD";"EAD MOOC";"EAD";"EAD";"EAD FP";"EAD";"PRESENCIAL";"PRESENCIAL";"PRESENCIAL";"PRESENCIAL"}, MATCH(CONCATENATE(E233, ".", F233),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34" spans="1:42" x14ac:dyDescent="0.25">
      <c r="A234" s="1" t="s">
        <v>27</v>
      </c>
      <c r="B234" s="1" t="s">
        <v>41</v>
      </c>
      <c r="C234" s="1" t="s">
        <v>29</v>
      </c>
      <c r="D234" s="1" t="s">
        <v>42</v>
      </c>
      <c r="E234" s="1" t="s">
        <v>120</v>
      </c>
      <c r="F234" s="1" t="s">
        <v>21</v>
      </c>
      <c r="G234" s="1" t="s">
        <v>278</v>
      </c>
      <c r="H234" s="1" t="s">
        <v>407</v>
      </c>
      <c r="I234" s="1" t="s">
        <v>172</v>
      </c>
      <c r="J234" s="1" t="s">
        <v>125</v>
      </c>
      <c r="K234" s="1" t="s">
        <v>109</v>
      </c>
      <c r="L234" s="1">
        <v>2025926</v>
      </c>
      <c r="M234" s="1" t="s">
        <v>408</v>
      </c>
      <c r="N234" s="5">
        <f>DATE(2016,4,18)</f>
        <v>42478</v>
      </c>
      <c r="O234" s="5">
        <f>DATE(2019,12,23)</f>
        <v>43822</v>
      </c>
      <c r="P234" s="5">
        <f t="shared" si="61"/>
        <v>44917</v>
      </c>
      <c r="Q234" s="1">
        <v>3144</v>
      </c>
      <c r="R234" s="1">
        <v>3200</v>
      </c>
      <c r="S234" s="1">
        <f t="shared" si="62"/>
        <v>3200</v>
      </c>
      <c r="T234" s="1">
        <v>2.5</v>
      </c>
      <c r="U234" s="1" t="str">
        <f t="shared" si="63"/>
        <v>NÃO</v>
      </c>
      <c r="V234" s="1">
        <f t="shared" si="64"/>
        <v>1345</v>
      </c>
      <c r="W234" s="4">
        <f t="shared" si="65"/>
        <v>2.3375464684014871</v>
      </c>
      <c r="X234" s="4">
        <f t="shared" si="66"/>
        <v>853.2044609665428</v>
      </c>
      <c r="Y234" s="4">
        <f t="shared" si="67"/>
        <v>1.0665055762081785</v>
      </c>
      <c r="AB234" s="5">
        <f t="shared" si="68"/>
        <v>45292</v>
      </c>
      <c r="AC234" s="5">
        <f t="shared" si="69"/>
        <v>45657</v>
      </c>
      <c r="AD234" s="1">
        <v>1</v>
      </c>
      <c r="AE234" s="1">
        <f t="shared" si="70"/>
        <v>0</v>
      </c>
      <c r="AF234" s="1">
        <f t="shared" si="71"/>
        <v>0</v>
      </c>
      <c r="AG234" s="1">
        <f t="shared" si="72"/>
        <v>0</v>
      </c>
      <c r="AH234" s="1">
        <f t="shared" si="73"/>
        <v>0</v>
      </c>
      <c r="AI234" s="1">
        <f t="shared" si="74"/>
        <v>183</v>
      </c>
      <c r="AJ234" s="3">
        <f t="shared" si="75"/>
        <v>0.5</v>
      </c>
      <c r="AK234" s="3">
        <f t="shared" si="76"/>
        <v>0.53325278810408927</v>
      </c>
      <c r="AL234" s="3">
        <f t="shared" si="77"/>
        <v>0</v>
      </c>
      <c r="AM234" s="3">
        <f t="shared" si="78"/>
        <v>0</v>
      </c>
      <c r="AN234" s="3">
        <f t="shared" si="79"/>
        <v>0</v>
      </c>
      <c r="AO234" s="3">
        <f t="shared" si="80"/>
        <v>0</v>
      </c>
      <c r="AP234" s="1" t="str">
        <f>INDEX({"EAD";"EAD";"EAD";"EAD MOOC";"EAD";"EAD";"EAD FP";"EAD";"PRESENCIAL";"PRESENCIAL";"PRESENCIAL";"PRESENCIAL"}, MATCH(CONCATENATE(E234, ".", F234),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35" spans="1:42" x14ac:dyDescent="0.25">
      <c r="A235" s="1" t="s">
        <v>27</v>
      </c>
      <c r="B235" s="1" t="s">
        <v>41</v>
      </c>
      <c r="C235" s="1" t="s">
        <v>29</v>
      </c>
      <c r="D235" s="1" t="s">
        <v>42</v>
      </c>
      <c r="E235" s="1" t="s">
        <v>120</v>
      </c>
      <c r="F235" s="1" t="s">
        <v>21</v>
      </c>
      <c r="G235" s="1" t="s">
        <v>121</v>
      </c>
      <c r="H235" s="1" t="s">
        <v>322</v>
      </c>
      <c r="I235" s="1" t="s">
        <v>107</v>
      </c>
      <c r="J235" s="1" t="s">
        <v>108</v>
      </c>
      <c r="K235" s="1" t="s">
        <v>109</v>
      </c>
      <c r="L235" s="1">
        <v>2151757</v>
      </c>
      <c r="M235" s="1" t="s">
        <v>409</v>
      </c>
      <c r="N235" s="5">
        <f>DATE(2017,5,15)</f>
        <v>42870</v>
      </c>
      <c r="O235" s="5">
        <f>DATE(2021,12,20)</f>
        <v>44550</v>
      </c>
      <c r="P235" s="5">
        <f t="shared" si="61"/>
        <v>45645</v>
      </c>
      <c r="Q235" s="1">
        <v>4035</v>
      </c>
      <c r="R235" s="1">
        <v>3600</v>
      </c>
      <c r="S235" s="1">
        <f t="shared" si="62"/>
        <v>3600</v>
      </c>
      <c r="T235" s="1">
        <v>2.5</v>
      </c>
      <c r="U235" s="1" t="str">
        <f t="shared" si="63"/>
        <v>SIM</v>
      </c>
      <c r="V235" s="1">
        <f t="shared" si="64"/>
        <v>1681</v>
      </c>
      <c r="W235" s="4">
        <f t="shared" si="65"/>
        <v>2.1415823914336705</v>
      </c>
      <c r="X235" s="4">
        <f t="shared" si="66"/>
        <v>781.67757287328971</v>
      </c>
      <c r="Y235" s="4">
        <f t="shared" si="67"/>
        <v>0.97709696609161212</v>
      </c>
      <c r="AB235" s="5">
        <f t="shared" si="68"/>
        <v>45292</v>
      </c>
      <c r="AC235" s="5">
        <f t="shared" si="69"/>
        <v>45657</v>
      </c>
      <c r="AD235" s="1">
        <v>16</v>
      </c>
      <c r="AE235" s="1">
        <f t="shared" si="70"/>
        <v>0</v>
      </c>
      <c r="AF235" s="1">
        <f t="shared" si="71"/>
        <v>0</v>
      </c>
      <c r="AG235" s="1">
        <f t="shared" si="72"/>
        <v>0</v>
      </c>
      <c r="AH235" s="1">
        <f t="shared" si="73"/>
        <v>0</v>
      </c>
      <c r="AI235" s="1">
        <f t="shared" si="74"/>
        <v>183</v>
      </c>
      <c r="AJ235" s="3">
        <f t="shared" si="75"/>
        <v>0.5</v>
      </c>
      <c r="AK235" s="3">
        <f t="shared" si="76"/>
        <v>0.48854848304580606</v>
      </c>
      <c r="AL235" s="3">
        <f t="shared" si="77"/>
        <v>3.9083878643664485</v>
      </c>
      <c r="AM235" s="3">
        <f t="shared" si="78"/>
        <v>9.770969660916121</v>
      </c>
      <c r="AN235" s="3">
        <f t="shared" si="79"/>
        <v>4.8854848304580605</v>
      </c>
      <c r="AO235" s="3">
        <f t="shared" si="80"/>
        <v>14.656454491374181</v>
      </c>
      <c r="AP235" s="1" t="str">
        <f>INDEX({"EAD";"EAD";"EAD";"EAD MOOC";"EAD";"EAD";"EAD FP";"EAD";"PRESENCIAL";"PRESENCIAL";"PRESENCIAL";"PRESENCIAL"}, MATCH(CONCATENATE(E235, ".", F235),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36" spans="1:42" x14ac:dyDescent="0.25">
      <c r="A236" s="1" t="s">
        <v>27</v>
      </c>
      <c r="B236" s="1" t="s">
        <v>41</v>
      </c>
      <c r="C236" s="1" t="s">
        <v>29</v>
      </c>
      <c r="D236" s="1" t="s">
        <v>42</v>
      </c>
      <c r="E236" s="1" t="s">
        <v>120</v>
      </c>
      <c r="F236" s="1" t="s">
        <v>21</v>
      </c>
      <c r="G236" s="1" t="s">
        <v>278</v>
      </c>
      <c r="H236" s="1" t="s">
        <v>405</v>
      </c>
      <c r="I236" s="1" t="s">
        <v>172</v>
      </c>
      <c r="J236" s="1" t="s">
        <v>125</v>
      </c>
      <c r="K236" s="1" t="s">
        <v>109</v>
      </c>
      <c r="L236" s="1">
        <v>2151758</v>
      </c>
      <c r="M236" s="1" t="s">
        <v>410</v>
      </c>
      <c r="N236" s="5">
        <f>DATE(2017,5,15)</f>
        <v>42870</v>
      </c>
      <c r="O236" s="5">
        <f>DATE(2020,12,21)</f>
        <v>44186</v>
      </c>
      <c r="P236" s="5">
        <f t="shared" si="61"/>
        <v>45281</v>
      </c>
      <c r="Q236" s="1">
        <v>3144</v>
      </c>
      <c r="R236" s="1">
        <v>3200</v>
      </c>
      <c r="S236" s="1">
        <f t="shared" si="62"/>
        <v>3200</v>
      </c>
      <c r="T236" s="1">
        <v>2.5</v>
      </c>
      <c r="U236" s="1" t="str">
        <f t="shared" si="63"/>
        <v>NÃO</v>
      </c>
      <c r="V236" s="1">
        <f t="shared" si="64"/>
        <v>1317</v>
      </c>
      <c r="W236" s="4">
        <f t="shared" si="65"/>
        <v>2.3872437357630978</v>
      </c>
      <c r="X236" s="4">
        <f t="shared" si="66"/>
        <v>871.34396355353067</v>
      </c>
      <c r="Y236" s="4">
        <f t="shared" si="67"/>
        <v>1.0891799544419134</v>
      </c>
      <c r="AB236" s="5">
        <f t="shared" si="68"/>
        <v>45292</v>
      </c>
      <c r="AC236" s="5">
        <f t="shared" si="69"/>
        <v>45657</v>
      </c>
      <c r="AE236" s="1">
        <f t="shared" si="70"/>
        <v>0</v>
      </c>
      <c r="AF236" s="1">
        <f t="shared" si="71"/>
        <v>0</v>
      </c>
      <c r="AG236" s="1">
        <f t="shared" si="72"/>
        <v>0</v>
      </c>
      <c r="AH236" s="1">
        <f t="shared" si="73"/>
        <v>0</v>
      </c>
      <c r="AI236" s="1">
        <f t="shared" si="74"/>
        <v>183</v>
      </c>
      <c r="AJ236" s="3">
        <f t="shared" si="75"/>
        <v>0.5</v>
      </c>
      <c r="AK236" s="3">
        <f t="shared" si="76"/>
        <v>0.5445899772209567</v>
      </c>
      <c r="AL236" s="3">
        <f t="shared" si="77"/>
        <v>0</v>
      </c>
      <c r="AM236" s="3">
        <f t="shared" si="78"/>
        <v>0</v>
      </c>
      <c r="AN236" s="3">
        <f t="shared" si="79"/>
        <v>0</v>
      </c>
      <c r="AO236" s="3">
        <f t="shared" si="80"/>
        <v>0</v>
      </c>
      <c r="AP236" s="1" t="str">
        <f>INDEX({"EAD";"EAD";"EAD";"EAD MOOC";"EAD";"EAD";"EAD FP";"EAD";"PRESENCIAL";"PRESENCIAL";"PRESENCIAL";"PRESENCIAL"}, MATCH(CONCATENATE(E236, ".", F236),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37" spans="1:42" x14ac:dyDescent="0.25">
      <c r="A237" s="1" t="s">
        <v>27</v>
      </c>
      <c r="B237" s="1" t="s">
        <v>41</v>
      </c>
      <c r="C237" s="1" t="s">
        <v>29</v>
      </c>
      <c r="D237" s="1" t="s">
        <v>42</v>
      </c>
      <c r="E237" s="1" t="s">
        <v>120</v>
      </c>
      <c r="F237" s="1" t="s">
        <v>21</v>
      </c>
      <c r="G237" s="1" t="s">
        <v>278</v>
      </c>
      <c r="H237" s="1" t="s">
        <v>279</v>
      </c>
      <c r="I237" s="1" t="s">
        <v>172</v>
      </c>
      <c r="J237" s="1" t="s">
        <v>125</v>
      </c>
      <c r="K237" s="1" t="s">
        <v>109</v>
      </c>
      <c r="L237" s="1">
        <v>2151760</v>
      </c>
      <c r="M237" s="1" t="s">
        <v>411</v>
      </c>
      <c r="N237" s="5">
        <f>DATE(2017,5,15)</f>
        <v>42870</v>
      </c>
      <c r="O237" s="5">
        <f>DATE(2020,12,21)</f>
        <v>44186</v>
      </c>
      <c r="P237" s="5">
        <f t="shared" si="61"/>
        <v>45281</v>
      </c>
      <c r="Q237" s="1">
        <v>3144</v>
      </c>
      <c r="R237" s="1">
        <v>3200</v>
      </c>
      <c r="S237" s="1">
        <f t="shared" si="62"/>
        <v>3200</v>
      </c>
      <c r="T237" s="1">
        <v>2.5</v>
      </c>
      <c r="U237" s="1" t="str">
        <f t="shared" si="63"/>
        <v>NÃO</v>
      </c>
      <c r="V237" s="1">
        <f t="shared" si="64"/>
        <v>1317</v>
      </c>
      <c r="W237" s="4">
        <f t="shared" si="65"/>
        <v>2.3872437357630978</v>
      </c>
      <c r="X237" s="4">
        <f t="shared" si="66"/>
        <v>871.34396355353067</v>
      </c>
      <c r="Y237" s="4">
        <f t="shared" si="67"/>
        <v>1.0891799544419134</v>
      </c>
      <c r="AB237" s="5">
        <f t="shared" si="68"/>
        <v>45292</v>
      </c>
      <c r="AC237" s="5">
        <f t="shared" si="69"/>
        <v>45657</v>
      </c>
      <c r="AD237" s="1">
        <v>1</v>
      </c>
      <c r="AE237" s="1">
        <f t="shared" si="70"/>
        <v>0</v>
      </c>
      <c r="AF237" s="1">
        <f t="shared" si="71"/>
        <v>0</v>
      </c>
      <c r="AG237" s="1">
        <f t="shared" si="72"/>
        <v>0</v>
      </c>
      <c r="AH237" s="1">
        <f t="shared" si="73"/>
        <v>0</v>
      </c>
      <c r="AI237" s="1">
        <f t="shared" si="74"/>
        <v>183</v>
      </c>
      <c r="AJ237" s="3">
        <f t="shared" si="75"/>
        <v>0.5</v>
      </c>
      <c r="AK237" s="3">
        <f t="shared" si="76"/>
        <v>0.5445899772209567</v>
      </c>
      <c r="AL237" s="3">
        <f t="shared" si="77"/>
        <v>0</v>
      </c>
      <c r="AM237" s="3">
        <f t="shared" si="78"/>
        <v>0</v>
      </c>
      <c r="AN237" s="3">
        <f t="shared" si="79"/>
        <v>0</v>
      </c>
      <c r="AO237" s="3">
        <f t="shared" si="80"/>
        <v>0</v>
      </c>
      <c r="AP237" s="1" t="str">
        <f>INDEX({"EAD";"EAD";"EAD";"EAD MOOC";"EAD";"EAD";"EAD FP";"EAD";"PRESENCIAL";"PRESENCIAL";"PRESENCIAL";"PRESENCIAL"}, MATCH(CONCATENATE(E237, ".", F237),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38" spans="1:42" x14ac:dyDescent="0.25">
      <c r="A238" s="1" t="s">
        <v>27</v>
      </c>
      <c r="B238" s="1" t="s">
        <v>41</v>
      </c>
      <c r="C238" s="1" t="s">
        <v>29</v>
      </c>
      <c r="D238" s="1" t="s">
        <v>42</v>
      </c>
      <c r="E238" s="1" t="s">
        <v>120</v>
      </c>
      <c r="F238" s="1" t="s">
        <v>21</v>
      </c>
      <c r="G238" s="1" t="s">
        <v>278</v>
      </c>
      <c r="H238" s="1" t="s">
        <v>407</v>
      </c>
      <c r="I238" s="1" t="s">
        <v>172</v>
      </c>
      <c r="J238" s="1" t="s">
        <v>125</v>
      </c>
      <c r="K238" s="1" t="s">
        <v>109</v>
      </c>
      <c r="L238" s="1">
        <v>2151761</v>
      </c>
      <c r="M238" s="1" t="s">
        <v>412</v>
      </c>
      <c r="N238" s="5">
        <f>DATE(2017,5,15)</f>
        <v>42870</v>
      </c>
      <c r="O238" s="5">
        <f>DATE(2020,12,21)</f>
        <v>44186</v>
      </c>
      <c r="P238" s="5">
        <f t="shared" si="61"/>
        <v>45281</v>
      </c>
      <c r="Q238" s="1">
        <v>3144</v>
      </c>
      <c r="R238" s="1">
        <v>3200</v>
      </c>
      <c r="S238" s="1">
        <f t="shared" si="62"/>
        <v>3200</v>
      </c>
      <c r="T238" s="1">
        <v>2.5</v>
      </c>
      <c r="U238" s="1" t="str">
        <f t="shared" si="63"/>
        <v>NÃO</v>
      </c>
      <c r="V238" s="1">
        <f t="shared" si="64"/>
        <v>1317</v>
      </c>
      <c r="W238" s="4">
        <f t="shared" si="65"/>
        <v>2.3872437357630978</v>
      </c>
      <c r="X238" s="4">
        <f t="shared" si="66"/>
        <v>871.34396355353067</v>
      </c>
      <c r="Y238" s="4">
        <f t="shared" si="67"/>
        <v>1.0891799544419134</v>
      </c>
      <c r="AB238" s="5">
        <f t="shared" si="68"/>
        <v>45292</v>
      </c>
      <c r="AC238" s="5">
        <f t="shared" si="69"/>
        <v>45657</v>
      </c>
      <c r="AE238" s="1">
        <f t="shared" si="70"/>
        <v>0</v>
      </c>
      <c r="AF238" s="1">
        <f t="shared" si="71"/>
        <v>0</v>
      </c>
      <c r="AG238" s="1">
        <f t="shared" si="72"/>
        <v>0</v>
      </c>
      <c r="AH238" s="1">
        <f t="shared" si="73"/>
        <v>0</v>
      </c>
      <c r="AI238" s="1">
        <f t="shared" si="74"/>
        <v>183</v>
      </c>
      <c r="AJ238" s="3">
        <f t="shared" si="75"/>
        <v>0.5</v>
      </c>
      <c r="AK238" s="3">
        <f t="shared" si="76"/>
        <v>0.5445899772209567</v>
      </c>
      <c r="AL238" s="3">
        <f t="shared" si="77"/>
        <v>0</v>
      </c>
      <c r="AM238" s="3">
        <f t="shared" si="78"/>
        <v>0</v>
      </c>
      <c r="AN238" s="3">
        <f t="shared" si="79"/>
        <v>0</v>
      </c>
      <c r="AO238" s="3">
        <f t="shared" si="80"/>
        <v>0</v>
      </c>
      <c r="AP238" s="1" t="str">
        <f>INDEX({"EAD";"EAD";"EAD";"EAD MOOC";"EAD";"EAD";"EAD FP";"EAD";"PRESENCIAL";"PRESENCIAL";"PRESENCIAL";"PRESENCIAL"}, MATCH(CONCATENATE(E238, ".", F238),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39" spans="1:42" x14ac:dyDescent="0.25">
      <c r="A239" s="1" t="s">
        <v>27</v>
      </c>
      <c r="B239" s="1" t="s">
        <v>41</v>
      </c>
      <c r="C239" s="1" t="s">
        <v>29</v>
      </c>
      <c r="D239" s="1" t="s">
        <v>42</v>
      </c>
      <c r="E239" s="1" t="s">
        <v>120</v>
      </c>
      <c r="F239" s="1" t="s">
        <v>21</v>
      </c>
      <c r="G239" s="1" t="s">
        <v>128</v>
      </c>
      <c r="H239" s="1" t="s">
        <v>206</v>
      </c>
      <c r="I239" s="1" t="s">
        <v>124</v>
      </c>
      <c r="J239" s="1" t="s">
        <v>125</v>
      </c>
      <c r="K239" s="1" t="s">
        <v>130</v>
      </c>
      <c r="L239" s="1">
        <v>2168968</v>
      </c>
      <c r="M239" s="1" t="s">
        <v>413</v>
      </c>
      <c r="N239" s="5">
        <f>DATE(2017,5,15)</f>
        <v>42870</v>
      </c>
      <c r="O239" s="5">
        <f>DATE(2019,12,23)</f>
        <v>43822</v>
      </c>
      <c r="P239" s="5">
        <f t="shared" si="61"/>
        <v>44917</v>
      </c>
      <c r="Q239" s="1">
        <v>2440</v>
      </c>
      <c r="R239" s="1">
        <v>800</v>
      </c>
      <c r="S239" s="1">
        <f t="shared" si="62"/>
        <v>3000</v>
      </c>
      <c r="T239" s="1">
        <v>1.5</v>
      </c>
      <c r="U239" s="1" t="str">
        <f t="shared" si="63"/>
        <v>NÃO</v>
      </c>
      <c r="V239" s="1">
        <f t="shared" si="64"/>
        <v>953</v>
      </c>
      <c r="W239" s="4">
        <f t="shared" si="65"/>
        <v>2.5603357817418679</v>
      </c>
      <c r="X239" s="4">
        <f t="shared" si="66"/>
        <v>934.5225603357818</v>
      </c>
      <c r="Y239" s="4">
        <f t="shared" si="67"/>
        <v>1.1681532004197273</v>
      </c>
      <c r="AB239" s="5">
        <f t="shared" si="68"/>
        <v>45292</v>
      </c>
      <c r="AC239" s="5">
        <f t="shared" si="69"/>
        <v>45657</v>
      </c>
      <c r="AE239" s="1">
        <f t="shared" si="70"/>
        <v>0</v>
      </c>
      <c r="AF239" s="1">
        <f t="shared" si="71"/>
        <v>0</v>
      </c>
      <c r="AG239" s="1">
        <f t="shared" si="72"/>
        <v>0</v>
      </c>
      <c r="AH239" s="1">
        <f t="shared" si="73"/>
        <v>0</v>
      </c>
      <c r="AI239" s="1">
        <f t="shared" si="74"/>
        <v>183</v>
      </c>
      <c r="AJ239" s="3">
        <f t="shared" si="75"/>
        <v>0.5</v>
      </c>
      <c r="AK239" s="3">
        <f t="shared" si="76"/>
        <v>0.58407660020986363</v>
      </c>
      <c r="AL239" s="3">
        <f t="shared" si="77"/>
        <v>0</v>
      </c>
      <c r="AM239" s="3">
        <f t="shared" si="78"/>
        <v>0</v>
      </c>
      <c r="AN239" s="3">
        <f t="shared" si="79"/>
        <v>0</v>
      </c>
      <c r="AO239" s="3">
        <f t="shared" si="80"/>
        <v>0</v>
      </c>
      <c r="AP239" s="1" t="str">
        <f>INDEX({"EAD";"EAD";"EAD";"EAD MOOC";"EAD";"EAD";"EAD FP";"EAD";"PRESENCIAL";"PRESENCIAL";"PRESENCIAL";"PRESENCIAL"}, MATCH(CONCATENATE(E239, ".", F239),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40" spans="1:42" x14ac:dyDescent="0.25">
      <c r="A240" s="1" t="s">
        <v>27</v>
      </c>
      <c r="B240" s="1" t="s">
        <v>41</v>
      </c>
      <c r="C240" s="1" t="s">
        <v>29</v>
      </c>
      <c r="D240" s="1" t="s">
        <v>42</v>
      </c>
      <c r="E240" s="1" t="s">
        <v>120</v>
      </c>
      <c r="F240" s="1" t="s">
        <v>21</v>
      </c>
      <c r="G240" s="1" t="s">
        <v>278</v>
      </c>
      <c r="H240" s="1" t="s">
        <v>279</v>
      </c>
      <c r="I240" s="1" t="s">
        <v>172</v>
      </c>
      <c r="J240" s="1" t="s">
        <v>125</v>
      </c>
      <c r="K240" s="1" t="s">
        <v>109</v>
      </c>
      <c r="L240" s="1">
        <v>2514804</v>
      </c>
      <c r="M240" s="1" t="s">
        <v>414</v>
      </c>
      <c r="N240" s="5">
        <f>DATE(2018,2,19)</f>
        <v>43150</v>
      </c>
      <c r="O240" s="5">
        <f>DATE(2021,12,31)</f>
        <v>44561</v>
      </c>
      <c r="P240" s="5">
        <f t="shared" si="61"/>
        <v>45656</v>
      </c>
      <c r="Q240" s="1">
        <v>3144</v>
      </c>
      <c r="R240" s="1">
        <v>3200</v>
      </c>
      <c r="S240" s="1">
        <f t="shared" si="62"/>
        <v>3200</v>
      </c>
      <c r="T240" s="1">
        <v>2.5</v>
      </c>
      <c r="U240" s="1" t="str">
        <f t="shared" si="63"/>
        <v>SIM</v>
      </c>
      <c r="V240" s="1">
        <f t="shared" si="64"/>
        <v>1412</v>
      </c>
      <c r="W240" s="4">
        <f t="shared" si="65"/>
        <v>2.226628895184136</v>
      </c>
      <c r="X240" s="4">
        <f t="shared" si="66"/>
        <v>812.71954674220967</v>
      </c>
      <c r="Y240" s="4">
        <f t="shared" si="67"/>
        <v>1.015899433427762</v>
      </c>
      <c r="AB240" s="5">
        <f t="shared" si="68"/>
        <v>45292</v>
      </c>
      <c r="AC240" s="5">
        <f t="shared" si="69"/>
        <v>45657</v>
      </c>
      <c r="AD240" s="1">
        <v>2</v>
      </c>
      <c r="AE240" s="1">
        <f t="shared" si="70"/>
        <v>0</v>
      </c>
      <c r="AF240" s="1">
        <f t="shared" si="71"/>
        <v>0</v>
      </c>
      <c r="AG240" s="1">
        <f t="shared" si="72"/>
        <v>0</v>
      </c>
      <c r="AH240" s="1">
        <f t="shared" si="73"/>
        <v>0</v>
      </c>
      <c r="AI240" s="1">
        <f t="shared" si="74"/>
        <v>183</v>
      </c>
      <c r="AJ240" s="3">
        <f t="shared" si="75"/>
        <v>0.5</v>
      </c>
      <c r="AK240" s="3">
        <f t="shared" si="76"/>
        <v>0.50794971671388101</v>
      </c>
      <c r="AL240" s="3">
        <f t="shared" si="77"/>
        <v>0.50794971671388101</v>
      </c>
      <c r="AM240" s="3">
        <f t="shared" si="78"/>
        <v>1.2698742917847026</v>
      </c>
      <c r="AN240" s="3">
        <f t="shared" si="79"/>
        <v>0</v>
      </c>
      <c r="AO240" s="3">
        <f t="shared" si="80"/>
        <v>1.2698742917847026</v>
      </c>
      <c r="AP240" s="1" t="str">
        <f>INDEX({"EAD";"EAD";"EAD";"EAD MOOC";"EAD";"EAD";"EAD FP";"EAD";"PRESENCIAL";"PRESENCIAL";"PRESENCIAL";"PRESENCIAL"}, MATCH(CONCATENATE(E240, ".", F240),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41" spans="1:42" x14ac:dyDescent="0.25">
      <c r="A241" s="1" t="s">
        <v>27</v>
      </c>
      <c r="B241" s="1" t="s">
        <v>41</v>
      </c>
      <c r="C241" s="1" t="s">
        <v>29</v>
      </c>
      <c r="D241" s="1" t="s">
        <v>42</v>
      </c>
      <c r="E241" s="1" t="s">
        <v>120</v>
      </c>
      <c r="F241" s="1" t="s">
        <v>21</v>
      </c>
      <c r="G241" s="1" t="s">
        <v>278</v>
      </c>
      <c r="H241" s="1" t="s">
        <v>405</v>
      </c>
      <c r="I241" s="1" t="s">
        <v>172</v>
      </c>
      <c r="J241" s="1" t="s">
        <v>125</v>
      </c>
      <c r="K241" s="1" t="s">
        <v>109</v>
      </c>
      <c r="L241" s="1">
        <v>2514793</v>
      </c>
      <c r="M241" s="1" t="s">
        <v>415</v>
      </c>
      <c r="N241" s="5">
        <f>DATE(2018,4,2)</f>
        <v>43192</v>
      </c>
      <c r="O241" s="5">
        <f>DATE(2021,12,31)</f>
        <v>44561</v>
      </c>
      <c r="P241" s="5">
        <f t="shared" si="61"/>
        <v>45656</v>
      </c>
      <c r="Q241" s="1">
        <v>3144</v>
      </c>
      <c r="R241" s="1">
        <v>3200</v>
      </c>
      <c r="S241" s="1">
        <f t="shared" si="62"/>
        <v>3200</v>
      </c>
      <c r="T241" s="1">
        <v>2.5</v>
      </c>
      <c r="U241" s="1" t="str">
        <f t="shared" si="63"/>
        <v>SIM</v>
      </c>
      <c r="V241" s="1">
        <f t="shared" si="64"/>
        <v>1370</v>
      </c>
      <c r="W241" s="4">
        <f t="shared" si="65"/>
        <v>2.2948905109489051</v>
      </c>
      <c r="X241" s="4">
        <f t="shared" si="66"/>
        <v>837.63503649635038</v>
      </c>
      <c r="Y241" s="4">
        <f t="shared" si="67"/>
        <v>1.0470437956204379</v>
      </c>
      <c r="AB241" s="5">
        <f t="shared" si="68"/>
        <v>45292</v>
      </c>
      <c r="AC241" s="5">
        <f t="shared" si="69"/>
        <v>45657</v>
      </c>
      <c r="AD241" s="1">
        <v>3</v>
      </c>
      <c r="AE241" s="1">
        <f t="shared" si="70"/>
        <v>0</v>
      </c>
      <c r="AF241" s="1">
        <f t="shared" si="71"/>
        <v>0</v>
      </c>
      <c r="AG241" s="1">
        <f t="shared" si="72"/>
        <v>0</v>
      </c>
      <c r="AH241" s="1">
        <f t="shared" si="73"/>
        <v>0</v>
      </c>
      <c r="AI241" s="1">
        <f t="shared" si="74"/>
        <v>183</v>
      </c>
      <c r="AJ241" s="3">
        <f t="shared" si="75"/>
        <v>0.5</v>
      </c>
      <c r="AK241" s="3">
        <f t="shared" si="76"/>
        <v>0.52352189781021896</v>
      </c>
      <c r="AL241" s="3">
        <f t="shared" si="77"/>
        <v>0.78528284671532844</v>
      </c>
      <c r="AM241" s="3">
        <f t="shared" si="78"/>
        <v>1.9632071167883212</v>
      </c>
      <c r="AN241" s="3">
        <f t="shared" si="79"/>
        <v>0</v>
      </c>
      <c r="AO241" s="3">
        <f t="shared" si="80"/>
        <v>1.9632071167883212</v>
      </c>
      <c r="AP241" s="1" t="str">
        <f>INDEX({"EAD";"EAD";"EAD";"EAD MOOC";"EAD";"EAD";"EAD FP";"EAD";"PRESENCIAL";"PRESENCIAL";"PRESENCIAL";"PRESENCIAL"}, MATCH(CONCATENATE(E241, ".", F241),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42" spans="1:42" x14ac:dyDescent="0.25">
      <c r="A242" s="1" t="s">
        <v>27</v>
      </c>
      <c r="B242" s="1" t="s">
        <v>41</v>
      </c>
      <c r="C242" s="1" t="s">
        <v>29</v>
      </c>
      <c r="D242" s="1" t="s">
        <v>42</v>
      </c>
      <c r="E242" s="1" t="s">
        <v>120</v>
      </c>
      <c r="F242" s="1" t="s">
        <v>21</v>
      </c>
      <c r="G242" s="1" t="s">
        <v>121</v>
      </c>
      <c r="H242" s="1" t="s">
        <v>322</v>
      </c>
      <c r="I242" s="1" t="s">
        <v>107</v>
      </c>
      <c r="J242" s="1" t="s">
        <v>108</v>
      </c>
      <c r="K242" s="1" t="s">
        <v>109</v>
      </c>
      <c r="L242" s="1">
        <v>2514838</v>
      </c>
      <c r="M242" s="1" t="s">
        <v>416</v>
      </c>
      <c r="N242" s="5">
        <f>DATE(2018,4,2)</f>
        <v>43192</v>
      </c>
      <c r="O242" s="5">
        <f>DATE(2022,12,31)</f>
        <v>44926</v>
      </c>
      <c r="P242" s="5">
        <f t="shared" si="61"/>
        <v>46021</v>
      </c>
      <c r="Q242" s="1">
        <v>4035</v>
      </c>
      <c r="R242" s="1">
        <v>3600</v>
      </c>
      <c r="S242" s="1">
        <f t="shared" si="62"/>
        <v>3600</v>
      </c>
      <c r="T242" s="1">
        <v>2.5</v>
      </c>
      <c r="U242" s="1" t="str">
        <f t="shared" si="63"/>
        <v>SIM</v>
      </c>
      <c r="V242" s="1">
        <f t="shared" si="64"/>
        <v>1735</v>
      </c>
      <c r="W242" s="4">
        <f t="shared" si="65"/>
        <v>2.0749279538904899</v>
      </c>
      <c r="X242" s="4">
        <f t="shared" si="66"/>
        <v>757.34870317002878</v>
      </c>
      <c r="Y242" s="4">
        <f t="shared" si="67"/>
        <v>0.94668587896253598</v>
      </c>
      <c r="AB242" s="5">
        <f t="shared" si="68"/>
        <v>45292</v>
      </c>
      <c r="AC242" s="5">
        <f t="shared" si="69"/>
        <v>45657</v>
      </c>
      <c r="AD242" s="1">
        <v>19</v>
      </c>
      <c r="AE242" s="1">
        <f t="shared" si="70"/>
        <v>0</v>
      </c>
      <c r="AF242" s="1">
        <f t="shared" si="71"/>
        <v>0</v>
      </c>
      <c r="AG242" s="1">
        <f t="shared" si="72"/>
        <v>0</v>
      </c>
      <c r="AH242" s="1">
        <f t="shared" si="73"/>
        <v>0</v>
      </c>
      <c r="AI242" s="1">
        <f t="shared" si="74"/>
        <v>183</v>
      </c>
      <c r="AJ242" s="3">
        <f t="shared" si="75"/>
        <v>0.5</v>
      </c>
      <c r="AK242" s="3">
        <f t="shared" si="76"/>
        <v>0.47334293948126799</v>
      </c>
      <c r="AL242" s="3">
        <f t="shared" si="77"/>
        <v>4.4967579250720462</v>
      </c>
      <c r="AM242" s="3">
        <f t="shared" si="78"/>
        <v>11.241894812680115</v>
      </c>
      <c r="AN242" s="3">
        <f t="shared" si="79"/>
        <v>5.6209474063400577</v>
      </c>
      <c r="AO242" s="3">
        <f t="shared" si="80"/>
        <v>16.862842219020173</v>
      </c>
      <c r="AP242" s="1" t="str">
        <f>INDEX({"EAD";"EAD";"EAD";"EAD MOOC";"EAD";"EAD";"EAD FP";"EAD";"PRESENCIAL";"PRESENCIAL";"PRESENCIAL";"PRESENCIAL"}, MATCH(CONCATENATE(E242, ".", F242),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43" spans="1:42" x14ac:dyDescent="0.25">
      <c r="A243" s="1" t="s">
        <v>27</v>
      </c>
      <c r="B243" s="1" t="s">
        <v>41</v>
      </c>
      <c r="C243" s="1" t="s">
        <v>29</v>
      </c>
      <c r="D243" s="1" t="s">
        <v>42</v>
      </c>
      <c r="E243" s="1" t="s">
        <v>120</v>
      </c>
      <c r="F243" s="1" t="s">
        <v>21</v>
      </c>
      <c r="G243" s="1" t="s">
        <v>128</v>
      </c>
      <c r="H243" s="1" t="s">
        <v>132</v>
      </c>
      <c r="I243" s="1" t="s">
        <v>107</v>
      </c>
      <c r="J243" s="1" t="s">
        <v>108</v>
      </c>
      <c r="K243" s="1" t="s">
        <v>130</v>
      </c>
      <c r="L243" s="1">
        <v>2590565</v>
      </c>
      <c r="M243" s="1" t="s">
        <v>417</v>
      </c>
      <c r="N243" s="5">
        <f>DATE(2019,2,4)</f>
        <v>43500</v>
      </c>
      <c r="O243" s="5">
        <f>DATE(2021,12,31)</f>
        <v>44561</v>
      </c>
      <c r="P243" s="5">
        <f t="shared" si="61"/>
        <v>45656</v>
      </c>
      <c r="Q243" s="1">
        <v>3614</v>
      </c>
      <c r="R243" s="1">
        <v>1200</v>
      </c>
      <c r="S243" s="1">
        <f t="shared" si="62"/>
        <v>3200</v>
      </c>
      <c r="T243" s="1">
        <v>2.5</v>
      </c>
      <c r="U243" s="1" t="str">
        <f t="shared" si="63"/>
        <v>SIM</v>
      </c>
      <c r="V243" s="1">
        <f t="shared" si="64"/>
        <v>1062</v>
      </c>
      <c r="W243" s="4">
        <f t="shared" si="65"/>
        <v>3.0131826741996233</v>
      </c>
      <c r="X243" s="4">
        <f t="shared" si="66"/>
        <v>1099.8116760828625</v>
      </c>
      <c r="Y243" s="4">
        <f t="shared" si="67"/>
        <v>1.3747645951035781</v>
      </c>
      <c r="AB243" s="5">
        <f t="shared" si="68"/>
        <v>45292</v>
      </c>
      <c r="AC243" s="5">
        <f t="shared" si="69"/>
        <v>45657</v>
      </c>
      <c r="AD243" s="1">
        <v>9</v>
      </c>
      <c r="AE243" s="1">
        <f t="shared" si="70"/>
        <v>0</v>
      </c>
      <c r="AF243" s="1">
        <f t="shared" si="71"/>
        <v>0</v>
      </c>
      <c r="AG243" s="1">
        <f t="shared" si="72"/>
        <v>0</v>
      </c>
      <c r="AH243" s="1">
        <f t="shared" si="73"/>
        <v>0</v>
      </c>
      <c r="AI243" s="1">
        <f t="shared" si="74"/>
        <v>183</v>
      </c>
      <c r="AJ243" s="3">
        <f t="shared" si="75"/>
        <v>0.5</v>
      </c>
      <c r="AK243" s="3">
        <f t="shared" si="76"/>
        <v>0.68738229755178903</v>
      </c>
      <c r="AL243" s="3">
        <f t="shared" si="77"/>
        <v>3.0932203389830506</v>
      </c>
      <c r="AM243" s="3">
        <f t="shared" si="78"/>
        <v>7.7330508474576263</v>
      </c>
      <c r="AN243" s="3">
        <f t="shared" si="79"/>
        <v>3.8665254237288131</v>
      </c>
      <c r="AO243" s="3">
        <f t="shared" si="80"/>
        <v>11.599576271186439</v>
      </c>
      <c r="AP243" s="1" t="str">
        <f>INDEX({"EAD";"EAD";"EAD";"EAD MOOC";"EAD";"EAD";"EAD FP";"EAD";"PRESENCIAL";"PRESENCIAL";"PRESENCIAL";"PRESENCIAL"}, MATCH(CONCATENATE(E243, ".", F243),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44" spans="1:42" x14ac:dyDescent="0.25">
      <c r="A244" s="1" t="s">
        <v>27</v>
      </c>
      <c r="B244" s="1" t="s">
        <v>41</v>
      </c>
      <c r="C244" s="1" t="s">
        <v>29</v>
      </c>
      <c r="D244" s="1" t="s">
        <v>42</v>
      </c>
      <c r="E244" s="1" t="s">
        <v>120</v>
      </c>
      <c r="F244" s="1" t="s">
        <v>21</v>
      </c>
      <c r="G244" s="1" t="s">
        <v>128</v>
      </c>
      <c r="H244" s="1" t="s">
        <v>315</v>
      </c>
      <c r="I244" s="1" t="s">
        <v>228</v>
      </c>
      <c r="J244" s="1" t="s">
        <v>108</v>
      </c>
      <c r="K244" s="1" t="s">
        <v>130</v>
      </c>
      <c r="L244" s="1">
        <v>2600614</v>
      </c>
      <c r="M244" s="1" t="s">
        <v>418</v>
      </c>
      <c r="N244" s="5">
        <f>DATE(2019,2,4)</f>
        <v>43500</v>
      </c>
      <c r="O244" s="5">
        <f>DATE(2021,12,31)</f>
        <v>44561</v>
      </c>
      <c r="P244" s="5">
        <f t="shared" si="61"/>
        <v>45656</v>
      </c>
      <c r="Q244" s="1">
        <v>3498</v>
      </c>
      <c r="R244" s="1">
        <v>1000</v>
      </c>
      <c r="S244" s="1">
        <f t="shared" si="62"/>
        <v>3100</v>
      </c>
      <c r="T244" s="1">
        <v>2.5</v>
      </c>
      <c r="U244" s="1" t="str">
        <f t="shared" si="63"/>
        <v>SIM</v>
      </c>
      <c r="V244" s="1">
        <f t="shared" si="64"/>
        <v>1062</v>
      </c>
      <c r="W244" s="4">
        <f t="shared" si="65"/>
        <v>2.9190207156308849</v>
      </c>
      <c r="X244" s="4">
        <f t="shared" si="66"/>
        <v>1065.442561205273</v>
      </c>
      <c r="Y244" s="4">
        <f t="shared" si="67"/>
        <v>1.3318032015065913</v>
      </c>
      <c r="AB244" s="5">
        <f t="shared" si="68"/>
        <v>45292</v>
      </c>
      <c r="AC244" s="5">
        <f t="shared" si="69"/>
        <v>45657</v>
      </c>
      <c r="AD244" s="1">
        <v>4</v>
      </c>
      <c r="AE244" s="1">
        <f t="shared" si="70"/>
        <v>0</v>
      </c>
      <c r="AF244" s="1">
        <f t="shared" si="71"/>
        <v>0</v>
      </c>
      <c r="AG244" s="1">
        <f t="shared" si="72"/>
        <v>0</v>
      </c>
      <c r="AH244" s="1">
        <f t="shared" si="73"/>
        <v>0</v>
      </c>
      <c r="AI244" s="1">
        <f t="shared" si="74"/>
        <v>183</v>
      </c>
      <c r="AJ244" s="3">
        <f t="shared" si="75"/>
        <v>0.5</v>
      </c>
      <c r="AK244" s="3">
        <f t="shared" si="76"/>
        <v>0.66590160075329563</v>
      </c>
      <c r="AL244" s="3">
        <f t="shared" si="77"/>
        <v>1.3318032015065913</v>
      </c>
      <c r="AM244" s="3">
        <f t="shared" si="78"/>
        <v>3.3295080037664784</v>
      </c>
      <c r="AN244" s="3">
        <f t="shared" si="79"/>
        <v>1.6647540018832392</v>
      </c>
      <c r="AO244" s="3">
        <f t="shared" si="80"/>
        <v>4.994262005649718</v>
      </c>
      <c r="AP244" s="1" t="str">
        <f>INDEX({"EAD";"EAD";"EAD";"EAD MOOC";"EAD";"EAD";"EAD FP";"EAD";"PRESENCIAL";"PRESENCIAL";"PRESENCIAL";"PRESENCIAL"}, MATCH(CONCATENATE(E244, ".", F244),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45" spans="1:42" x14ac:dyDescent="0.25">
      <c r="A245" s="1" t="s">
        <v>27</v>
      </c>
      <c r="B245" s="1" t="s">
        <v>41</v>
      </c>
      <c r="C245" s="1" t="s">
        <v>29</v>
      </c>
      <c r="D245" s="1" t="s">
        <v>42</v>
      </c>
      <c r="E245" s="1" t="s">
        <v>120</v>
      </c>
      <c r="F245" s="1" t="s">
        <v>21</v>
      </c>
      <c r="G245" s="1" t="s">
        <v>121</v>
      </c>
      <c r="H245" s="1" t="s">
        <v>322</v>
      </c>
      <c r="I245" s="1" t="s">
        <v>107</v>
      </c>
      <c r="J245" s="1" t="s">
        <v>108</v>
      </c>
      <c r="K245" s="1" t="s">
        <v>109</v>
      </c>
      <c r="L245" s="1">
        <v>2590510</v>
      </c>
      <c r="M245" s="1" t="s">
        <v>419</v>
      </c>
      <c r="N245" s="5">
        <f>DATE(2019,3,11)</f>
        <v>43535</v>
      </c>
      <c r="O245" s="5">
        <f>DATE(2023,12,31)</f>
        <v>45291</v>
      </c>
      <c r="P245" s="5">
        <f t="shared" si="61"/>
        <v>46386</v>
      </c>
      <c r="Q245" s="1">
        <v>4069</v>
      </c>
      <c r="R245" s="1">
        <v>3600</v>
      </c>
      <c r="S245" s="1">
        <f t="shared" si="62"/>
        <v>3600</v>
      </c>
      <c r="T245" s="1">
        <v>2.5</v>
      </c>
      <c r="U245" s="1" t="str">
        <f t="shared" si="63"/>
        <v>SIM</v>
      </c>
      <c r="V245" s="1">
        <f t="shared" si="64"/>
        <v>1757</v>
      </c>
      <c r="W245" s="4">
        <f t="shared" si="65"/>
        <v>2.0489470688673874</v>
      </c>
      <c r="X245" s="4">
        <f t="shared" si="66"/>
        <v>747.86568013659644</v>
      </c>
      <c r="Y245" s="4">
        <f t="shared" si="67"/>
        <v>0.93483210017074558</v>
      </c>
      <c r="AB245" s="5">
        <f t="shared" si="68"/>
        <v>45292</v>
      </c>
      <c r="AC245" s="5">
        <f t="shared" si="69"/>
        <v>45657</v>
      </c>
      <c r="AD245" s="1">
        <v>21</v>
      </c>
      <c r="AE245" s="1">
        <f t="shared" si="70"/>
        <v>0</v>
      </c>
      <c r="AF245" s="1">
        <f t="shared" si="71"/>
        <v>0</v>
      </c>
      <c r="AG245" s="1">
        <f t="shared" si="72"/>
        <v>0</v>
      </c>
      <c r="AH245" s="1">
        <f t="shared" si="73"/>
        <v>0</v>
      </c>
      <c r="AI245" s="1">
        <f t="shared" si="74"/>
        <v>183</v>
      </c>
      <c r="AJ245" s="3">
        <f t="shared" si="75"/>
        <v>0.5</v>
      </c>
      <c r="AK245" s="3">
        <f t="shared" si="76"/>
        <v>0.46741605008537279</v>
      </c>
      <c r="AL245" s="3">
        <f t="shared" si="77"/>
        <v>4.9078685258964141</v>
      </c>
      <c r="AM245" s="3">
        <f t="shared" si="78"/>
        <v>12.269671314741036</v>
      </c>
      <c r="AN245" s="3">
        <f t="shared" si="79"/>
        <v>6.1348356573705178</v>
      </c>
      <c r="AO245" s="3">
        <f t="shared" si="80"/>
        <v>18.404506972111555</v>
      </c>
      <c r="AP245" s="1" t="str">
        <f>INDEX({"EAD";"EAD";"EAD";"EAD MOOC";"EAD";"EAD";"EAD FP";"EAD";"PRESENCIAL";"PRESENCIAL";"PRESENCIAL";"PRESENCIAL"}, MATCH(CONCATENATE(E245, ".", F245),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46" spans="1:42" x14ac:dyDescent="0.25">
      <c r="A246" s="1" t="s">
        <v>27</v>
      </c>
      <c r="B246" s="1" t="s">
        <v>41</v>
      </c>
      <c r="C246" s="1" t="s">
        <v>29</v>
      </c>
      <c r="D246" s="1" t="s">
        <v>42</v>
      </c>
      <c r="E246" s="1" t="s">
        <v>120</v>
      </c>
      <c r="F246" s="1" t="s">
        <v>21</v>
      </c>
      <c r="G246" s="1" t="s">
        <v>278</v>
      </c>
      <c r="H246" s="1" t="s">
        <v>405</v>
      </c>
      <c r="I246" s="1" t="s">
        <v>172</v>
      </c>
      <c r="J246" s="1" t="s">
        <v>125</v>
      </c>
      <c r="K246" s="1" t="s">
        <v>109</v>
      </c>
      <c r="L246" s="1">
        <v>2590555</v>
      </c>
      <c r="M246" s="1" t="s">
        <v>420</v>
      </c>
      <c r="N246" s="5">
        <f>DATE(2019,3,11)</f>
        <v>43535</v>
      </c>
      <c r="O246" s="5">
        <f>DATE(2022,12,31)</f>
        <v>44926</v>
      </c>
      <c r="P246" s="5">
        <f t="shared" si="61"/>
        <v>46021</v>
      </c>
      <c r="Q246" s="1">
        <v>3144</v>
      </c>
      <c r="R246" s="1">
        <v>3200</v>
      </c>
      <c r="S246" s="1">
        <f t="shared" si="62"/>
        <v>3200</v>
      </c>
      <c r="T246" s="1">
        <v>2.5</v>
      </c>
      <c r="U246" s="1" t="str">
        <f t="shared" si="63"/>
        <v>SIM</v>
      </c>
      <c r="V246" s="1">
        <f t="shared" si="64"/>
        <v>1392</v>
      </c>
      <c r="W246" s="4">
        <f t="shared" si="65"/>
        <v>2.2586206896551726</v>
      </c>
      <c r="X246" s="4">
        <f t="shared" si="66"/>
        <v>824.39655172413802</v>
      </c>
      <c r="Y246" s="4">
        <f t="shared" si="67"/>
        <v>1.0304956896551725</v>
      </c>
      <c r="AB246" s="5">
        <f t="shared" si="68"/>
        <v>45292</v>
      </c>
      <c r="AC246" s="5">
        <f t="shared" si="69"/>
        <v>45657</v>
      </c>
      <c r="AD246" s="1">
        <v>6</v>
      </c>
      <c r="AE246" s="1">
        <f t="shared" si="70"/>
        <v>0</v>
      </c>
      <c r="AF246" s="1">
        <f t="shared" si="71"/>
        <v>0</v>
      </c>
      <c r="AG246" s="1">
        <f t="shared" si="72"/>
        <v>0</v>
      </c>
      <c r="AH246" s="1">
        <f t="shared" si="73"/>
        <v>0</v>
      </c>
      <c r="AI246" s="1">
        <f t="shared" si="74"/>
        <v>183</v>
      </c>
      <c r="AJ246" s="3">
        <f t="shared" si="75"/>
        <v>0.5</v>
      </c>
      <c r="AK246" s="3">
        <f t="shared" si="76"/>
        <v>0.51524784482758623</v>
      </c>
      <c r="AL246" s="3">
        <f t="shared" si="77"/>
        <v>1.5457435344827588</v>
      </c>
      <c r="AM246" s="3">
        <f t="shared" si="78"/>
        <v>3.8643588362068968</v>
      </c>
      <c r="AN246" s="3">
        <f t="shared" si="79"/>
        <v>0</v>
      </c>
      <c r="AO246" s="3">
        <f t="shared" si="80"/>
        <v>3.8643588362068968</v>
      </c>
      <c r="AP246" s="1" t="str">
        <f>INDEX({"EAD";"EAD";"EAD";"EAD MOOC";"EAD";"EAD";"EAD FP";"EAD";"PRESENCIAL";"PRESENCIAL";"PRESENCIAL";"PRESENCIAL"}, MATCH(CONCATENATE(E246, ".", F246),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47" spans="1:42" x14ac:dyDescent="0.25">
      <c r="A247" s="1" t="s">
        <v>27</v>
      </c>
      <c r="B247" s="1" t="s">
        <v>41</v>
      </c>
      <c r="C247" s="1" t="s">
        <v>29</v>
      </c>
      <c r="D247" s="1" t="s">
        <v>42</v>
      </c>
      <c r="E247" s="1" t="s">
        <v>120</v>
      </c>
      <c r="F247" s="1" t="s">
        <v>21</v>
      </c>
      <c r="G247" s="1" t="s">
        <v>278</v>
      </c>
      <c r="H247" s="1" t="s">
        <v>279</v>
      </c>
      <c r="I247" s="1" t="s">
        <v>172</v>
      </c>
      <c r="J247" s="1" t="s">
        <v>125</v>
      </c>
      <c r="K247" s="1" t="s">
        <v>109</v>
      </c>
      <c r="L247" s="1">
        <v>2590557</v>
      </c>
      <c r="M247" s="1" t="s">
        <v>421</v>
      </c>
      <c r="N247" s="5">
        <f>DATE(2019,3,11)</f>
        <v>43535</v>
      </c>
      <c r="O247" s="5">
        <f>DATE(2022,12,31)</f>
        <v>44926</v>
      </c>
      <c r="P247" s="5">
        <f t="shared" si="61"/>
        <v>46021</v>
      </c>
      <c r="Q247" s="1">
        <v>3144</v>
      </c>
      <c r="R247" s="1">
        <v>3200</v>
      </c>
      <c r="S247" s="1">
        <f t="shared" si="62"/>
        <v>3200</v>
      </c>
      <c r="T247" s="1">
        <v>2.5</v>
      </c>
      <c r="U247" s="1" t="str">
        <f t="shared" si="63"/>
        <v>SIM</v>
      </c>
      <c r="V247" s="1">
        <f t="shared" si="64"/>
        <v>1392</v>
      </c>
      <c r="W247" s="4">
        <f t="shared" si="65"/>
        <v>2.2586206896551726</v>
      </c>
      <c r="X247" s="4">
        <f t="shared" si="66"/>
        <v>824.39655172413802</v>
      </c>
      <c r="Y247" s="4">
        <f t="shared" si="67"/>
        <v>1.0304956896551725</v>
      </c>
      <c r="AB247" s="5">
        <f t="shared" si="68"/>
        <v>45292</v>
      </c>
      <c r="AC247" s="5">
        <f t="shared" si="69"/>
        <v>45657</v>
      </c>
      <c r="AD247" s="1">
        <v>4</v>
      </c>
      <c r="AE247" s="1">
        <f t="shared" si="70"/>
        <v>0</v>
      </c>
      <c r="AF247" s="1">
        <f t="shared" si="71"/>
        <v>0</v>
      </c>
      <c r="AG247" s="1">
        <f t="shared" si="72"/>
        <v>0</v>
      </c>
      <c r="AH247" s="1">
        <f t="shared" si="73"/>
        <v>0</v>
      </c>
      <c r="AI247" s="1">
        <f t="shared" si="74"/>
        <v>183</v>
      </c>
      <c r="AJ247" s="3">
        <f t="shared" si="75"/>
        <v>0.5</v>
      </c>
      <c r="AK247" s="3">
        <f t="shared" si="76"/>
        <v>0.51524784482758623</v>
      </c>
      <c r="AL247" s="3">
        <f t="shared" si="77"/>
        <v>1.0304956896551725</v>
      </c>
      <c r="AM247" s="3">
        <f t="shared" si="78"/>
        <v>2.576239224137931</v>
      </c>
      <c r="AN247" s="3">
        <f t="shared" si="79"/>
        <v>0</v>
      </c>
      <c r="AO247" s="3">
        <f t="shared" si="80"/>
        <v>2.576239224137931</v>
      </c>
      <c r="AP247" s="1" t="str">
        <f>INDEX({"EAD";"EAD";"EAD";"EAD MOOC";"EAD";"EAD";"EAD FP";"EAD";"PRESENCIAL";"PRESENCIAL";"PRESENCIAL";"PRESENCIAL"}, MATCH(CONCATENATE(E247, ".", F247),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48" spans="1:42" x14ac:dyDescent="0.25">
      <c r="A248" s="1" t="s">
        <v>27</v>
      </c>
      <c r="B248" s="1" t="s">
        <v>41</v>
      </c>
      <c r="C248" s="1" t="s">
        <v>29</v>
      </c>
      <c r="D248" s="1" t="s">
        <v>42</v>
      </c>
      <c r="E248" s="1" t="s">
        <v>120</v>
      </c>
      <c r="F248" s="1" t="s">
        <v>21</v>
      </c>
      <c r="G248" s="1" t="s">
        <v>128</v>
      </c>
      <c r="H248" s="1" t="s">
        <v>206</v>
      </c>
      <c r="I248" s="1" t="s">
        <v>124</v>
      </c>
      <c r="J248" s="1" t="s">
        <v>125</v>
      </c>
      <c r="K248" s="1" t="s">
        <v>316</v>
      </c>
      <c r="L248" s="1">
        <v>2600615</v>
      </c>
      <c r="M248" s="1" t="s">
        <v>422</v>
      </c>
      <c r="N248" s="5">
        <f>DATE(2019,3,11)</f>
        <v>43535</v>
      </c>
      <c r="O248" s="5">
        <f>DATE(2021,12,31)</f>
        <v>44561</v>
      </c>
      <c r="P248" s="5">
        <f t="shared" si="61"/>
        <v>45656</v>
      </c>
      <c r="Q248" s="1">
        <v>2440</v>
      </c>
      <c r="R248" s="1">
        <v>800</v>
      </c>
      <c r="S248" s="1">
        <f t="shared" si="62"/>
        <v>2400</v>
      </c>
      <c r="T248" s="1">
        <v>2.5</v>
      </c>
      <c r="U248" s="1" t="str">
        <f t="shared" si="63"/>
        <v>SIM</v>
      </c>
      <c r="V248" s="1">
        <f t="shared" si="64"/>
        <v>1027</v>
      </c>
      <c r="W248" s="4">
        <f t="shared" si="65"/>
        <v>2.3369036027263874</v>
      </c>
      <c r="X248" s="4">
        <f t="shared" si="66"/>
        <v>852.9698149951314</v>
      </c>
      <c r="Y248" s="4">
        <f t="shared" si="67"/>
        <v>1.0662122687439142</v>
      </c>
      <c r="AB248" s="5">
        <f t="shared" si="68"/>
        <v>45292</v>
      </c>
      <c r="AC248" s="5">
        <f t="shared" si="69"/>
        <v>45657</v>
      </c>
      <c r="AD248" s="1">
        <v>4</v>
      </c>
      <c r="AE248" s="1">
        <f t="shared" si="70"/>
        <v>0</v>
      </c>
      <c r="AF248" s="1">
        <f t="shared" si="71"/>
        <v>0</v>
      </c>
      <c r="AG248" s="1">
        <f t="shared" si="72"/>
        <v>0</v>
      </c>
      <c r="AH248" s="1">
        <f t="shared" si="73"/>
        <v>0</v>
      </c>
      <c r="AI248" s="1">
        <f t="shared" si="74"/>
        <v>183</v>
      </c>
      <c r="AJ248" s="3">
        <f t="shared" si="75"/>
        <v>0.5</v>
      </c>
      <c r="AK248" s="3">
        <f t="shared" si="76"/>
        <v>0.53310613437195709</v>
      </c>
      <c r="AL248" s="3">
        <f t="shared" si="77"/>
        <v>1.0662122687439142</v>
      </c>
      <c r="AM248" s="3">
        <f t="shared" si="78"/>
        <v>2.6655306718597855</v>
      </c>
      <c r="AN248" s="3">
        <f t="shared" si="79"/>
        <v>0</v>
      </c>
      <c r="AO248" s="3">
        <f t="shared" si="80"/>
        <v>2.6655306718597855</v>
      </c>
      <c r="AP248" s="1" t="str">
        <f>INDEX({"EAD";"EAD";"EAD";"EAD MOOC";"EAD";"EAD";"EAD FP";"EAD";"PRESENCIAL";"PRESENCIAL";"PRESENCIAL";"PRESENCIAL"}, MATCH(CONCATENATE(E248, ".", F248),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49" spans="1:42" x14ac:dyDescent="0.25">
      <c r="A249" s="1" t="s">
        <v>27</v>
      </c>
      <c r="B249" s="1" t="s">
        <v>41</v>
      </c>
      <c r="C249" s="1" t="s">
        <v>29</v>
      </c>
      <c r="D249" s="1" t="s">
        <v>42</v>
      </c>
      <c r="E249" s="1" t="s">
        <v>120</v>
      </c>
      <c r="F249" s="1" t="s">
        <v>21</v>
      </c>
      <c r="G249" s="1" t="s">
        <v>128</v>
      </c>
      <c r="H249" s="1" t="s">
        <v>132</v>
      </c>
      <c r="I249" s="1" t="s">
        <v>107</v>
      </c>
      <c r="J249" s="1" t="s">
        <v>108</v>
      </c>
      <c r="K249" s="1" t="s">
        <v>130</v>
      </c>
      <c r="L249" s="1">
        <v>2676245</v>
      </c>
      <c r="M249" s="1" t="s">
        <v>423</v>
      </c>
      <c r="N249" s="5">
        <f t="shared" ref="N249:N254" si="83">DATE(2020,2,3)</f>
        <v>43864</v>
      </c>
      <c r="O249" s="5">
        <f>DATE(2022,12,31)</f>
        <v>44926</v>
      </c>
      <c r="P249" s="5">
        <f t="shared" si="61"/>
        <v>46021</v>
      </c>
      <c r="Q249" s="1">
        <v>3614</v>
      </c>
      <c r="R249" s="1">
        <v>1200</v>
      </c>
      <c r="S249" s="1">
        <f t="shared" si="62"/>
        <v>3200</v>
      </c>
      <c r="T249" s="1">
        <v>2.5</v>
      </c>
      <c r="U249" s="1" t="str">
        <f t="shared" si="63"/>
        <v>SIM</v>
      </c>
      <c r="V249" s="1">
        <f t="shared" si="64"/>
        <v>1063</v>
      </c>
      <c r="W249" s="4">
        <f t="shared" si="65"/>
        <v>3.0103480714957667</v>
      </c>
      <c r="X249" s="4">
        <f t="shared" si="66"/>
        <v>1098.7770460959548</v>
      </c>
      <c r="Y249" s="4">
        <f t="shared" si="67"/>
        <v>1.3734713076199434</v>
      </c>
      <c r="AB249" s="5">
        <f t="shared" si="68"/>
        <v>45292</v>
      </c>
      <c r="AC249" s="5">
        <f t="shared" si="69"/>
        <v>45657</v>
      </c>
      <c r="AD249" s="1">
        <v>9</v>
      </c>
      <c r="AE249" s="1">
        <f t="shared" si="70"/>
        <v>0</v>
      </c>
      <c r="AF249" s="1">
        <f t="shared" si="71"/>
        <v>0</v>
      </c>
      <c r="AG249" s="1">
        <f t="shared" si="72"/>
        <v>0</v>
      </c>
      <c r="AH249" s="1">
        <f t="shared" si="73"/>
        <v>0</v>
      </c>
      <c r="AI249" s="1">
        <f t="shared" si="74"/>
        <v>183</v>
      </c>
      <c r="AJ249" s="3">
        <f t="shared" si="75"/>
        <v>0.5</v>
      </c>
      <c r="AK249" s="3">
        <f t="shared" si="76"/>
        <v>0.6867356538099717</v>
      </c>
      <c r="AL249" s="3">
        <f t="shared" si="77"/>
        <v>3.0903104421448728</v>
      </c>
      <c r="AM249" s="3">
        <f t="shared" si="78"/>
        <v>7.7257761053621818</v>
      </c>
      <c r="AN249" s="3">
        <f t="shared" si="79"/>
        <v>3.8628880526810909</v>
      </c>
      <c r="AO249" s="3">
        <f t="shared" si="80"/>
        <v>11.588664158043272</v>
      </c>
      <c r="AP249" s="1" t="str">
        <f>INDEX({"EAD";"EAD";"EAD";"EAD MOOC";"EAD";"EAD";"EAD FP";"EAD";"PRESENCIAL";"PRESENCIAL";"PRESENCIAL";"PRESENCIAL"}, MATCH(CONCATENATE(E249, ".", F249),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50" spans="1:42" x14ac:dyDescent="0.25">
      <c r="A250" s="1" t="s">
        <v>27</v>
      </c>
      <c r="B250" s="1" t="s">
        <v>41</v>
      </c>
      <c r="C250" s="1" t="s">
        <v>29</v>
      </c>
      <c r="D250" s="1" t="s">
        <v>42</v>
      </c>
      <c r="E250" s="1" t="s">
        <v>120</v>
      </c>
      <c r="F250" s="1" t="s">
        <v>21</v>
      </c>
      <c r="G250" s="1" t="s">
        <v>128</v>
      </c>
      <c r="H250" s="1" t="s">
        <v>315</v>
      </c>
      <c r="I250" s="1" t="s">
        <v>228</v>
      </c>
      <c r="J250" s="1" t="s">
        <v>108</v>
      </c>
      <c r="K250" s="1" t="s">
        <v>130</v>
      </c>
      <c r="L250" s="1">
        <v>2676246</v>
      </c>
      <c r="M250" s="1" t="s">
        <v>424</v>
      </c>
      <c r="N250" s="5">
        <f t="shared" si="83"/>
        <v>43864</v>
      </c>
      <c r="O250" s="5">
        <f>DATE(2022,12,31)</f>
        <v>44926</v>
      </c>
      <c r="P250" s="5">
        <f t="shared" si="61"/>
        <v>46021</v>
      </c>
      <c r="Q250" s="1">
        <v>3498</v>
      </c>
      <c r="R250" s="1">
        <v>1000</v>
      </c>
      <c r="S250" s="1">
        <f t="shared" si="62"/>
        <v>3100</v>
      </c>
      <c r="T250" s="1">
        <v>2.5</v>
      </c>
      <c r="U250" s="1" t="str">
        <f t="shared" si="63"/>
        <v>SIM</v>
      </c>
      <c r="V250" s="1">
        <f t="shared" si="64"/>
        <v>1063</v>
      </c>
      <c r="W250" s="4">
        <f t="shared" si="65"/>
        <v>2.9162746942615239</v>
      </c>
      <c r="X250" s="4">
        <f t="shared" si="66"/>
        <v>1064.4402634054561</v>
      </c>
      <c r="Y250" s="4">
        <f t="shared" si="67"/>
        <v>1.3305503292568202</v>
      </c>
      <c r="AB250" s="5">
        <f t="shared" si="68"/>
        <v>45292</v>
      </c>
      <c r="AC250" s="5">
        <f t="shared" si="69"/>
        <v>45657</v>
      </c>
      <c r="AD250" s="1">
        <v>10</v>
      </c>
      <c r="AE250" s="1">
        <f t="shared" si="70"/>
        <v>0</v>
      </c>
      <c r="AF250" s="1">
        <f t="shared" si="71"/>
        <v>0</v>
      </c>
      <c r="AG250" s="1">
        <f t="shared" si="72"/>
        <v>0</v>
      </c>
      <c r="AH250" s="1">
        <f t="shared" si="73"/>
        <v>0</v>
      </c>
      <c r="AI250" s="1">
        <f t="shared" si="74"/>
        <v>183</v>
      </c>
      <c r="AJ250" s="3">
        <f t="shared" si="75"/>
        <v>0.5</v>
      </c>
      <c r="AK250" s="3">
        <f t="shared" si="76"/>
        <v>0.66527516462841008</v>
      </c>
      <c r="AL250" s="3">
        <f t="shared" si="77"/>
        <v>3.3263758231420502</v>
      </c>
      <c r="AM250" s="3">
        <f t="shared" si="78"/>
        <v>8.3159395578551258</v>
      </c>
      <c r="AN250" s="3">
        <f t="shared" si="79"/>
        <v>4.1579697789275629</v>
      </c>
      <c r="AO250" s="3">
        <f t="shared" si="80"/>
        <v>12.47390933678269</v>
      </c>
      <c r="AP250" s="1" t="str">
        <f>INDEX({"EAD";"EAD";"EAD";"EAD MOOC";"EAD";"EAD";"EAD FP";"EAD";"PRESENCIAL";"PRESENCIAL";"PRESENCIAL";"PRESENCIAL"}, MATCH(CONCATENATE(E250, ".", F250),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51" spans="1:42" x14ac:dyDescent="0.25">
      <c r="A251" s="1" t="s">
        <v>27</v>
      </c>
      <c r="B251" s="1" t="s">
        <v>41</v>
      </c>
      <c r="C251" s="1" t="s">
        <v>29</v>
      </c>
      <c r="D251" s="1" t="s">
        <v>42</v>
      </c>
      <c r="E251" s="1" t="s">
        <v>120</v>
      </c>
      <c r="F251" s="1" t="s">
        <v>21</v>
      </c>
      <c r="G251" s="1" t="s">
        <v>278</v>
      </c>
      <c r="H251" s="1" t="s">
        <v>279</v>
      </c>
      <c r="I251" s="1" t="s">
        <v>172</v>
      </c>
      <c r="J251" s="1" t="s">
        <v>125</v>
      </c>
      <c r="K251" s="1" t="s">
        <v>109</v>
      </c>
      <c r="L251" s="1">
        <v>2676257</v>
      </c>
      <c r="M251" s="1" t="s">
        <v>425</v>
      </c>
      <c r="N251" s="5">
        <f t="shared" si="83"/>
        <v>43864</v>
      </c>
      <c r="O251" s="5">
        <f>DATE(2023,12,31)</f>
        <v>45291</v>
      </c>
      <c r="P251" s="5">
        <f t="shared" si="61"/>
        <v>46386</v>
      </c>
      <c r="Q251" s="1">
        <v>3212</v>
      </c>
      <c r="R251" s="1">
        <v>3200</v>
      </c>
      <c r="S251" s="1">
        <f t="shared" si="62"/>
        <v>3200</v>
      </c>
      <c r="T251" s="1">
        <v>2.5</v>
      </c>
      <c r="U251" s="1" t="str">
        <f t="shared" si="63"/>
        <v>SIM</v>
      </c>
      <c r="V251" s="1">
        <f t="shared" si="64"/>
        <v>1428</v>
      </c>
      <c r="W251" s="4">
        <f t="shared" si="65"/>
        <v>2.2408963585434174</v>
      </c>
      <c r="X251" s="4">
        <f t="shared" si="66"/>
        <v>817.92717086834739</v>
      </c>
      <c r="Y251" s="4">
        <f t="shared" si="67"/>
        <v>1.0224089635854343</v>
      </c>
      <c r="AB251" s="5">
        <f t="shared" si="68"/>
        <v>45292</v>
      </c>
      <c r="AC251" s="5">
        <f t="shared" si="69"/>
        <v>45657</v>
      </c>
      <c r="AD251" s="1">
        <v>7</v>
      </c>
      <c r="AE251" s="1">
        <f t="shared" si="70"/>
        <v>0</v>
      </c>
      <c r="AF251" s="1">
        <f t="shared" si="71"/>
        <v>0</v>
      </c>
      <c r="AG251" s="1">
        <f t="shared" si="72"/>
        <v>0</v>
      </c>
      <c r="AH251" s="1">
        <f t="shared" si="73"/>
        <v>0</v>
      </c>
      <c r="AI251" s="1">
        <f t="shared" si="74"/>
        <v>183</v>
      </c>
      <c r="AJ251" s="3">
        <f t="shared" si="75"/>
        <v>0.5</v>
      </c>
      <c r="AK251" s="3">
        <f t="shared" si="76"/>
        <v>0.51120448179271716</v>
      </c>
      <c r="AL251" s="3">
        <f t="shared" si="77"/>
        <v>1.7892156862745101</v>
      </c>
      <c r="AM251" s="3">
        <f t="shared" si="78"/>
        <v>4.473039215686275</v>
      </c>
      <c r="AN251" s="3">
        <f t="shared" si="79"/>
        <v>0</v>
      </c>
      <c r="AO251" s="3">
        <f t="shared" si="80"/>
        <v>4.473039215686275</v>
      </c>
      <c r="AP251" s="1" t="str">
        <f>INDEX({"EAD";"EAD";"EAD";"EAD MOOC";"EAD";"EAD";"EAD FP";"EAD";"PRESENCIAL";"PRESENCIAL";"PRESENCIAL";"PRESENCIAL"}, MATCH(CONCATENATE(E251, ".", F251),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52" spans="1:42" x14ac:dyDescent="0.25">
      <c r="A252" s="1" t="s">
        <v>27</v>
      </c>
      <c r="B252" s="1" t="s">
        <v>41</v>
      </c>
      <c r="C252" s="1" t="s">
        <v>29</v>
      </c>
      <c r="D252" s="1" t="s">
        <v>42</v>
      </c>
      <c r="E252" s="1" t="s">
        <v>120</v>
      </c>
      <c r="F252" s="1" t="s">
        <v>21</v>
      </c>
      <c r="G252" s="1" t="s">
        <v>278</v>
      </c>
      <c r="H252" s="1" t="s">
        <v>407</v>
      </c>
      <c r="I252" s="1" t="s">
        <v>172</v>
      </c>
      <c r="J252" s="1" t="s">
        <v>125</v>
      </c>
      <c r="K252" s="1" t="s">
        <v>109</v>
      </c>
      <c r="L252" s="1">
        <v>2676258</v>
      </c>
      <c r="M252" s="1" t="s">
        <v>426</v>
      </c>
      <c r="N252" s="5">
        <f t="shared" si="83"/>
        <v>43864</v>
      </c>
      <c r="O252" s="5">
        <f>DATE(2023,12,31)</f>
        <v>45291</v>
      </c>
      <c r="P252" s="5">
        <f t="shared" si="61"/>
        <v>46386</v>
      </c>
      <c r="Q252" s="1">
        <v>3212</v>
      </c>
      <c r="R252" s="1">
        <v>3200</v>
      </c>
      <c r="S252" s="1">
        <f t="shared" si="62"/>
        <v>3200</v>
      </c>
      <c r="T252" s="1">
        <v>2.5</v>
      </c>
      <c r="U252" s="1" t="str">
        <f t="shared" si="63"/>
        <v>SIM</v>
      </c>
      <c r="V252" s="1">
        <f t="shared" si="64"/>
        <v>1428</v>
      </c>
      <c r="W252" s="4">
        <f t="shared" si="65"/>
        <v>2.2408963585434174</v>
      </c>
      <c r="X252" s="4">
        <f t="shared" si="66"/>
        <v>817.92717086834739</v>
      </c>
      <c r="Y252" s="4">
        <f t="shared" si="67"/>
        <v>1.0224089635854343</v>
      </c>
      <c r="AB252" s="5">
        <f t="shared" si="68"/>
        <v>45292</v>
      </c>
      <c r="AC252" s="5">
        <f t="shared" si="69"/>
        <v>45657</v>
      </c>
      <c r="AD252" s="1">
        <v>5</v>
      </c>
      <c r="AE252" s="1">
        <f t="shared" si="70"/>
        <v>0</v>
      </c>
      <c r="AF252" s="1">
        <f t="shared" si="71"/>
        <v>0</v>
      </c>
      <c r="AG252" s="1">
        <f t="shared" si="72"/>
        <v>0</v>
      </c>
      <c r="AH252" s="1">
        <f t="shared" si="73"/>
        <v>0</v>
      </c>
      <c r="AI252" s="1">
        <f t="shared" si="74"/>
        <v>183</v>
      </c>
      <c r="AJ252" s="3">
        <f t="shared" si="75"/>
        <v>0.5</v>
      </c>
      <c r="AK252" s="3">
        <f t="shared" si="76"/>
        <v>0.51120448179271716</v>
      </c>
      <c r="AL252" s="3">
        <f t="shared" si="77"/>
        <v>1.2780112044817928</v>
      </c>
      <c r="AM252" s="3">
        <f t="shared" si="78"/>
        <v>3.195028011204482</v>
      </c>
      <c r="AN252" s="3">
        <f t="shared" si="79"/>
        <v>0</v>
      </c>
      <c r="AO252" s="3">
        <f t="shared" si="80"/>
        <v>3.195028011204482</v>
      </c>
      <c r="AP252" s="1" t="str">
        <f>INDEX({"EAD";"EAD";"EAD";"EAD MOOC";"EAD";"EAD";"EAD FP";"EAD";"PRESENCIAL";"PRESENCIAL";"PRESENCIAL";"PRESENCIAL"}, MATCH(CONCATENATE(E252, ".", F252),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53" spans="1:42" x14ac:dyDescent="0.25">
      <c r="A253" s="1" t="s">
        <v>27</v>
      </c>
      <c r="B253" s="1" t="s">
        <v>41</v>
      </c>
      <c r="C253" s="1" t="s">
        <v>29</v>
      </c>
      <c r="D253" s="1" t="s">
        <v>42</v>
      </c>
      <c r="E253" s="1" t="s">
        <v>120</v>
      </c>
      <c r="F253" s="1" t="s">
        <v>21</v>
      </c>
      <c r="G253" s="1" t="s">
        <v>278</v>
      </c>
      <c r="H253" s="1" t="s">
        <v>405</v>
      </c>
      <c r="I253" s="1" t="s">
        <v>172</v>
      </c>
      <c r="J253" s="1" t="s">
        <v>125</v>
      </c>
      <c r="K253" s="1" t="s">
        <v>109</v>
      </c>
      <c r="L253" s="1">
        <v>2676259</v>
      </c>
      <c r="M253" s="1" t="s">
        <v>427</v>
      </c>
      <c r="N253" s="5">
        <f t="shared" si="83"/>
        <v>43864</v>
      </c>
      <c r="O253" s="5">
        <f>DATE(2023,12,31)</f>
        <v>45291</v>
      </c>
      <c r="P253" s="5">
        <f t="shared" si="61"/>
        <v>46386</v>
      </c>
      <c r="Q253" s="1">
        <v>3212</v>
      </c>
      <c r="R253" s="1">
        <v>3200</v>
      </c>
      <c r="S253" s="1">
        <f t="shared" si="62"/>
        <v>3200</v>
      </c>
      <c r="T253" s="1">
        <v>2.5</v>
      </c>
      <c r="U253" s="1" t="str">
        <f t="shared" si="63"/>
        <v>SIM</v>
      </c>
      <c r="V253" s="1">
        <f t="shared" si="64"/>
        <v>1428</v>
      </c>
      <c r="W253" s="4">
        <f t="shared" si="65"/>
        <v>2.2408963585434174</v>
      </c>
      <c r="X253" s="4">
        <f t="shared" si="66"/>
        <v>817.92717086834739</v>
      </c>
      <c r="Y253" s="4">
        <f t="shared" si="67"/>
        <v>1.0224089635854343</v>
      </c>
      <c r="AB253" s="5">
        <f t="shared" si="68"/>
        <v>45292</v>
      </c>
      <c r="AC253" s="5">
        <f t="shared" si="69"/>
        <v>45657</v>
      </c>
      <c r="AD253" s="1">
        <v>8</v>
      </c>
      <c r="AE253" s="1">
        <f t="shared" si="70"/>
        <v>0</v>
      </c>
      <c r="AF253" s="1">
        <f t="shared" si="71"/>
        <v>0</v>
      </c>
      <c r="AG253" s="1">
        <f t="shared" si="72"/>
        <v>0</v>
      </c>
      <c r="AH253" s="1">
        <f t="shared" si="73"/>
        <v>0</v>
      </c>
      <c r="AI253" s="1">
        <f t="shared" si="74"/>
        <v>183</v>
      </c>
      <c r="AJ253" s="3">
        <f t="shared" si="75"/>
        <v>0.5</v>
      </c>
      <c r="AK253" s="3">
        <f t="shared" si="76"/>
        <v>0.51120448179271716</v>
      </c>
      <c r="AL253" s="3">
        <f t="shared" si="77"/>
        <v>2.0448179271708686</v>
      </c>
      <c r="AM253" s="3">
        <f t="shared" si="78"/>
        <v>5.1120448179271714</v>
      </c>
      <c r="AN253" s="3">
        <f t="shared" si="79"/>
        <v>0</v>
      </c>
      <c r="AO253" s="3">
        <f t="shared" si="80"/>
        <v>5.1120448179271714</v>
      </c>
      <c r="AP253" s="1" t="str">
        <f>INDEX({"EAD";"EAD";"EAD";"EAD MOOC";"EAD";"EAD";"EAD FP";"EAD";"PRESENCIAL";"PRESENCIAL";"PRESENCIAL";"PRESENCIAL"}, MATCH(CONCATENATE(E253, ".", F253),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54" spans="1:42" x14ac:dyDescent="0.25">
      <c r="A254" s="1" t="s">
        <v>27</v>
      </c>
      <c r="B254" s="1" t="s">
        <v>41</v>
      </c>
      <c r="C254" s="1" t="s">
        <v>29</v>
      </c>
      <c r="D254" s="1" t="s">
        <v>42</v>
      </c>
      <c r="E254" s="1" t="s">
        <v>120</v>
      </c>
      <c r="F254" s="1" t="s">
        <v>21</v>
      </c>
      <c r="G254" s="1" t="s">
        <v>121</v>
      </c>
      <c r="H254" s="1" t="s">
        <v>322</v>
      </c>
      <c r="I254" s="1" t="s">
        <v>107</v>
      </c>
      <c r="J254" s="1" t="s">
        <v>108</v>
      </c>
      <c r="K254" s="1" t="s">
        <v>109</v>
      </c>
      <c r="L254" s="1">
        <v>2676260</v>
      </c>
      <c r="M254" s="1" t="s">
        <v>428</v>
      </c>
      <c r="N254" s="5">
        <f t="shared" si="83"/>
        <v>43864</v>
      </c>
      <c r="O254" s="5">
        <f>DATE(2024,12,31)</f>
        <v>45657</v>
      </c>
      <c r="P254" s="5">
        <f t="shared" si="61"/>
        <v>46752</v>
      </c>
      <c r="Q254" s="1">
        <v>4069</v>
      </c>
      <c r="R254" s="1">
        <v>3600</v>
      </c>
      <c r="S254" s="1">
        <f t="shared" si="62"/>
        <v>3600</v>
      </c>
      <c r="T254" s="1">
        <v>2.5</v>
      </c>
      <c r="U254" s="1" t="str">
        <f t="shared" si="63"/>
        <v>SIM</v>
      </c>
      <c r="V254" s="1">
        <f t="shared" si="64"/>
        <v>1794</v>
      </c>
      <c r="W254" s="4">
        <f t="shared" si="65"/>
        <v>2.0066889632107023</v>
      </c>
      <c r="X254" s="4">
        <f t="shared" si="66"/>
        <v>732.44147157190639</v>
      </c>
      <c r="Y254" s="4">
        <f t="shared" si="67"/>
        <v>0.91555183946488294</v>
      </c>
      <c r="AB254" s="5">
        <f t="shared" si="68"/>
        <v>45292</v>
      </c>
      <c r="AC254" s="5">
        <f t="shared" si="69"/>
        <v>45657</v>
      </c>
      <c r="AD254" s="1">
        <v>14</v>
      </c>
      <c r="AE254" s="1">
        <f t="shared" si="70"/>
        <v>0</v>
      </c>
      <c r="AF254" s="1">
        <f t="shared" si="71"/>
        <v>0</v>
      </c>
      <c r="AG254" s="1">
        <f t="shared" si="72"/>
        <v>366</v>
      </c>
      <c r="AH254" s="1">
        <f t="shared" si="73"/>
        <v>0</v>
      </c>
      <c r="AI254" s="1">
        <f t="shared" si="74"/>
        <v>0</v>
      </c>
      <c r="AJ254" s="3">
        <f t="shared" si="75"/>
        <v>1</v>
      </c>
      <c r="AK254" s="3">
        <f t="shared" si="76"/>
        <v>0.91555183946488294</v>
      </c>
      <c r="AL254" s="3">
        <f t="shared" si="77"/>
        <v>12.817725752508361</v>
      </c>
      <c r="AM254" s="3">
        <f t="shared" si="78"/>
        <v>32.044314381270901</v>
      </c>
      <c r="AN254" s="3">
        <f t="shared" si="79"/>
        <v>16.022157190635451</v>
      </c>
      <c r="AO254" s="3">
        <f t="shared" si="80"/>
        <v>48.066471571906348</v>
      </c>
      <c r="AP254" s="1" t="str">
        <f>INDEX({"EAD";"EAD";"EAD";"EAD MOOC";"EAD";"EAD";"EAD FP";"EAD";"PRESENCIAL";"PRESENCIAL";"PRESENCIAL";"PRESENCIAL"}, MATCH(CONCATENATE(E254, ".", F254),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55" spans="1:42" x14ac:dyDescent="0.25">
      <c r="A255" s="1" t="s">
        <v>27</v>
      </c>
      <c r="B255" s="1" t="s">
        <v>41</v>
      </c>
      <c r="C255" s="1" t="s">
        <v>29</v>
      </c>
      <c r="D255" s="1" t="s">
        <v>42</v>
      </c>
      <c r="E255" s="1" t="s">
        <v>120</v>
      </c>
      <c r="F255" s="1" t="s">
        <v>21</v>
      </c>
      <c r="G255" s="1" t="s">
        <v>278</v>
      </c>
      <c r="H255" s="1" t="s">
        <v>279</v>
      </c>
      <c r="I255" s="1" t="s">
        <v>172</v>
      </c>
      <c r="J255" s="1" t="s">
        <v>125</v>
      </c>
      <c r="K255" s="1" t="s">
        <v>109</v>
      </c>
      <c r="L255" s="1">
        <v>2766568</v>
      </c>
      <c r="M255" s="1" t="s">
        <v>429</v>
      </c>
      <c r="N255" s="5">
        <f t="shared" ref="N255:N260" si="84">DATE(2021,4,1)</f>
        <v>44287</v>
      </c>
      <c r="O255" s="5">
        <f>DATE(2024,12,31)</f>
        <v>45657</v>
      </c>
      <c r="P255" s="5">
        <f t="shared" si="61"/>
        <v>46752</v>
      </c>
      <c r="Q255" s="1">
        <v>3212</v>
      </c>
      <c r="R255" s="1">
        <v>3200</v>
      </c>
      <c r="S255" s="1">
        <f t="shared" si="62"/>
        <v>3200</v>
      </c>
      <c r="T255" s="1">
        <v>2.5</v>
      </c>
      <c r="U255" s="1" t="str">
        <f t="shared" si="63"/>
        <v>SIM</v>
      </c>
      <c r="V255" s="1">
        <f t="shared" si="64"/>
        <v>1371</v>
      </c>
      <c r="W255" s="4">
        <f t="shared" si="65"/>
        <v>2.3340627279358133</v>
      </c>
      <c r="X255" s="4">
        <f t="shared" si="66"/>
        <v>851.93289569657179</v>
      </c>
      <c r="Y255" s="4">
        <f t="shared" si="67"/>
        <v>1.0649161196207146</v>
      </c>
      <c r="AB255" s="5">
        <f t="shared" si="68"/>
        <v>45292</v>
      </c>
      <c r="AC255" s="5">
        <f t="shared" si="69"/>
        <v>45657</v>
      </c>
      <c r="AD255" s="1">
        <v>6</v>
      </c>
      <c r="AE255" s="1">
        <f t="shared" si="70"/>
        <v>0</v>
      </c>
      <c r="AF255" s="1">
        <f t="shared" si="71"/>
        <v>0</v>
      </c>
      <c r="AG255" s="1">
        <f t="shared" si="72"/>
        <v>366</v>
      </c>
      <c r="AH255" s="1">
        <f t="shared" si="73"/>
        <v>0</v>
      </c>
      <c r="AI255" s="1">
        <f t="shared" si="74"/>
        <v>0</v>
      </c>
      <c r="AJ255" s="3">
        <f t="shared" si="75"/>
        <v>1</v>
      </c>
      <c r="AK255" s="3">
        <f t="shared" si="76"/>
        <v>1.0649161196207146</v>
      </c>
      <c r="AL255" s="3">
        <f t="shared" si="77"/>
        <v>6.3894967177242883</v>
      </c>
      <c r="AM255" s="3">
        <f t="shared" si="78"/>
        <v>15.973741794310721</v>
      </c>
      <c r="AN255" s="3">
        <f t="shared" si="79"/>
        <v>0</v>
      </c>
      <c r="AO255" s="3">
        <f t="shared" si="80"/>
        <v>15.973741794310721</v>
      </c>
      <c r="AP255" s="1" t="str">
        <f>INDEX({"EAD";"EAD";"EAD";"EAD MOOC";"EAD";"EAD";"EAD FP";"EAD";"PRESENCIAL";"PRESENCIAL";"PRESENCIAL";"PRESENCIAL"}, MATCH(CONCATENATE(E255, ".", F255),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56" spans="1:42" x14ac:dyDescent="0.25">
      <c r="A256" s="1" t="s">
        <v>27</v>
      </c>
      <c r="B256" s="1" t="s">
        <v>41</v>
      </c>
      <c r="C256" s="1" t="s">
        <v>29</v>
      </c>
      <c r="D256" s="1" t="s">
        <v>42</v>
      </c>
      <c r="E256" s="1" t="s">
        <v>120</v>
      </c>
      <c r="F256" s="1" t="s">
        <v>21</v>
      </c>
      <c r="G256" s="1" t="s">
        <v>278</v>
      </c>
      <c r="H256" s="1" t="s">
        <v>405</v>
      </c>
      <c r="I256" s="1" t="s">
        <v>172</v>
      </c>
      <c r="J256" s="1" t="s">
        <v>125</v>
      </c>
      <c r="K256" s="1" t="s">
        <v>109</v>
      </c>
      <c r="L256" s="1">
        <v>2766734</v>
      </c>
      <c r="M256" s="1" t="s">
        <v>430</v>
      </c>
      <c r="N256" s="5">
        <f t="shared" si="84"/>
        <v>44287</v>
      </c>
      <c r="O256" s="5">
        <f>DATE(2024,12,31)</f>
        <v>45657</v>
      </c>
      <c r="P256" s="5">
        <f t="shared" si="61"/>
        <v>46752</v>
      </c>
      <c r="Q256" s="1">
        <v>3212</v>
      </c>
      <c r="R256" s="1">
        <v>3200</v>
      </c>
      <c r="S256" s="1">
        <f t="shared" si="62"/>
        <v>3200</v>
      </c>
      <c r="T256" s="1">
        <v>2.5</v>
      </c>
      <c r="U256" s="1" t="str">
        <f t="shared" si="63"/>
        <v>SIM</v>
      </c>
      <c r="V256" s="1">
        <f t="shared" si="64"/>
        <v>1371</v>
      </c>
      <c r="W256" s="4">
        <f t="shared" si="65"/>
        <v>2.3340627279358133</v>
      </c>
      <c r="X256" s="4">
        <f t="shared" si="66"/>
        <v>851.93289569657179</v>
      </c>
      <c r="Y256" s="4">
        <f t="shared" si="67"/>
        <v>1.0649161196207146</v>
      </c>
      <c r="AB256" s="5">
        <f t="shared" si="68"/>
        <v>45292</v>
      </c>
      <c r="AC256" s="5">
        <f t="shared" si="69"/>
        <v>45657</v>
      </c>
      <c r="AD256" s="1">
        <v>14</v>
      </c>
      <c r="AE256" s="1">
        <f t="shared" si="70"/>
        <v>0</v>
      </c>
      <c r="AF256" s="1">
        <f t="shared" si="71"/>
        <v>0</v>
      </c>
      <c r="AG256" s="1">
        <f t="shared" si="72"/>
        <v>366</v>
      </c>
      <c r="AH256" s="1">
        <f t="shared" si="73"/>
        <v>0</v>
      </c>
      <c r="AI256" s="1">
        <f t="shared" si="74"/>
        <v>0</v>
      </c>
      <c r="AJ256" s="3">
        <f t="shared" si="75"/>
        <v>1</v>
      </c>
      <c r="AK256" s="3">
        <f t="shared" si="76"/>
        <v>1.0649161196207146</v>
      </c>
      <c r="AL256" s="3">
        <f t="shared" si="77"/>
        <v>14.908825674690005</v>
      </c>
      <c r="AM256" s="3">
        <f t="shared" si="78"/>
        <v>37.272064186725011</v>
      </c>
      <c r="AN256" s="3">
        <f t="shared" si="79"/>
        <v>0</v>
      </c>
      <c r="AO256" s="3">
        <f t="shared" si="80"/>
        <v>37.272064186725011</v>
      </c>
      <c r="AP256" s="1" t="str">
        <f>INDEX({"EAD";"EAD";"EAD";"EAD MOOC";"EAD";"EAD";"EAD FP";"EAD";"PRESENCIAL";"PRESENCIAL";"PRESENCIAL";"PRESENCIAL"}, MATCH(CONCATENATE(E256, ".", F256),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57" spans="1:42" x14ac:dyDescent="0.25">
      <c r="A257" s="1" t="s">
        <v>27</v>
      </c>
      <c r="B257" s="1" t="s">
        <v>41</v>
      </c>
      <c r="C257" s="1" t="s">
        <v>29</v>
      </c>
      <c r="D257" s="1" t="s">
        <v>42</v>
      </c>
      <c r="E257" s="1" t="s">
        <v>120</v>
      </c>
      <c r="F257" s="1" t="s">
        <v>21</v>
      </c>
      <c r="G257" s="1" t="s">
        <v>278</v>
      </c>
      <c r="H257" s="1" t="s">
        <v>407</v>
      </c>
      <c r="I257" s="1" t="s">
        <v>172</v>
      </c>
      <c r="J257" s="1" t="s">
        <v>125</v>
      </c>
      <c r="K257" s="1" t="s">
        <v>109</v>
      </c>
      <c r="L257" s="1">
        <v>2766735</v>
      </c>
      <c r="M257" s="1" t="s">
        <v>431</v>
      </c>
      <c r="N257" s="5">
        <f t="shared" si="84"/>
        <v>44287</v>
      </c>
      <c r="O257" s="5">
        <f>DATE(2024,12,31)</f>
        <v>45657</v>
      </c>
      <c r="P257" s="5">
        <f t="shared" si="61"/>
        <v>46752</v>
      </c>
      <c r="Q257" s="1">
        <v>3212</v>
      </c>
      <c r="R257" s="1">
        <v>3200</v>
      </c>
      <c r="S257" s="1">
        <f t="shared" si="62"/>
        <v>3200</v>
      </c>
      <c r="T257" s="1">
        <v>2.5</v>
      </c>
      <c r="U257" s="1" t="str">
        <f t="shared" si="63"/>
        <v>SIM</v>
      </c>
      <c r="V257" s="1">
        <f t="shared" si="64"/>
        <v>1371</v>
      </c>
      <c r="W257" s="4">
        <f t="shared" si="65"/>
        <v>2.3340627279358133</v>
      </c>
      <c r="X257" s="4">
        <f t="shared" si="66"/>
        <v>851.93289569657179</v>
      </c>
      <c r="Y257" s="4">
        <f t="shared" si="67"/>
        <v>1.0649161196207146</v>
      </c>
      <c r="AB257" s="5">
        <f t="shared" si="68"/>
        <v>45292</v>
      </c>
      <c r="AC257" s="5">
        <f t="shared" si="69"/>
        <v>45657</v>
      </c>
      <c r="AD257" s="1">
        <v>3</v>
      </c>
      <c r="AE257" s="1">
        <f t="shared" si="70"/>
        <v>0</v>
      </c>
      <c r="AF257" s="1">
        <f t="shared" si="71"/>
        <v>0</v>
      </c>
      <c r="AG257" s="1">
        <f t="shared" si="72"/>
        <v>366</v>
      </c>
      <c r="AH257" s="1">
        <f t="shared" si="73"/>
        <v>0</v>
      </c>
      <c r="AI257" s="1">
        <f t="shared" si="74"/>
        <v>0</v>
      </c>
      <c r="AJ257" s="3">
        <f t="shared" si="75"/>
        <v>1</v>
      </c>
      <c r="AK257" s="3">
        <f t="shared" si="76"/>
        <v>1.0649161196207146</v>
      </c>
      <c r="AL257" s="3">
        <f t="shared" si="77"/>
        <v>3.1947483588621441</v>
      </c>
      <c r="AM257" s="3">
        <f t="shared" si="78"/>
        <v>7.9868708971553604</v>
      </c>
      <c r="AN257" s="3">
        <f t="shared" si="79"/>
        <v>0</v>
      </c>
      <c r="AO257" s="3">
        <f t="shared" si="80"/>
        <v>7.9868708971553604</v>
      </c>
      <c r="AP257" s="1" t="str">
        <f>INDEX({"EAD";"EAD";"EAD";"EAD MOOC";"EAD";"EAD";"EAD FP";"EAD";"PRESENCIAL";"PRESENCIAL";"PRESENCIAL";"PRESENCIAL"}, MATCH(CONCATENATE(E257, ".", F257),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58" spans="1:42" x14ac:dyDescent="0.25">
      <c r="A258" s="1" t="s">
        <v>27</v>
      </c>
      <c r="B258" s="1" t="s">
        <v>41</v>
      </c>
      <c r="C258" s="1" t="s">
        <v>29</v>
      </c>
      <c r="D258" s="1" t="s">
        <v>42</v>
      </c>
      <c r="E258" s="1" t="s">
        <v>120</v>
      </c>
      <c r="F258" s="1" t="s">
        <v>21</v>
      </c>
      <c r="G258" s="1" t="s">
        <v>121</v>
      </c>
      <c r="H258" s="1" t="s">
        <v>322</v>
      </c>
      <c r="I258" s="1" t="s">
        <v>107</v>
      </c>
      <c r="J258" s="1" t="s">
        <v>108</v>
      </c>
      <c r="K258" s="1" t="s">
        <v>109</v>
      </c>
      <c r="L258" s="1">
        <v>2766736</v>
      </c>
      <c r="M258" s="1" t="s">
        <v>432</v>
      </c>
      <c r="N258" s="5">
        <f t="shared" si="84"/>
        <v>44287</v>
      </c>
      <c r="O258" s="5">
        <f>DATE(2025,12,31)</f>
        <v>46022</v>
      </c>
      <c r="P258" s="5">
        <f t="shared" si="61"/>
        <v>47117</v>
      </c>
      <c r="Q258" s="1">
        <v>4840</v>
      </c>
      <c r="R258" s="1">
        <v>3600</v>
      </c>
      <c r="S258" s="1">
        <f t="shared" si="62"/>
        <v>3600</v>
      </c>
      <c r="T258" s="1">
        <v>2.5</v>
      </c>
      <c r="U258" s="1" t="str">
        <f t="shared" si="63"/>
        <v>SIM</v>
      </c>
      <c r="V258" s="1">
        <f t="shared" si="64"/>
        <v>1736</v>
      </c>
      <c r="W258" s="4">
        <f t="shared" si="65"/>
        <v>2.0737327188940093</v>
      </c>
      <c r="X258" s="4">
        <f t="shared" si="66"/>
        <v>756.91244239631339</v>
      </c>
      <c r="Y258" s="4">
        <f t="shared" si="67"/>
        <v>0.94614055299539179</v>
      </c>
      <c r="AB258" s="5">
        <f t="shared" si="68"/>
        <v>45292</v>
      </c>
      <c r="AC258" s="5">
        <f t="shared" si="69"/>
        <v>45657</v>
      </c>
      <c r="AD258" s="1">
        <v>28</v>
      </c>
      <c r="AE258" s="1">
        <f t="shared" si="70"/>
        <v>366</v>
      </c>
      <c r="AF258" s="1">
        <f t="shared" si="71"/>
        <v>0</v>
      </c>
      <c r="AG258" s="1">
        <f t="shared" si="72"/>
        <v>0</v>
      </c>
      <c r="AH258" s="1">
        <f t="shared" si="73"/>
        <v>0</v>
      </c>
      <c r="AI258" s="1">
        <f t="shared" si="74"/>
        <v>0</v>
      </c>
      <c r="AJ258" s="3">
        <f t="shared" si="75"/>
        <v>1</v>
      </c>
      <c r="AK258" s="3">
        <f t="shared" si="76"/>
        <v>0.94614055299539179</v>
      </c>
      <c r="AL258" s="3">
        <f t="shared" si="77"/>
        <v>26.491935483870972</v>
      </c>
      <c r="AM258" s="3">
        <f t="shared" si="78"/>
        <v>66.229838709677423</v>
      </c>
      <c r="AN258" s="3">
        <f t="shared" si="79"/>
        <v>33.114919354838712</v>
      </c>
      <c r="AO258" s="3">
        <f t="shared" si="80"/>
        <v>99.344758064516128</v>
      </c>
      <c r="AP258" s="1" t="str">
        <f>INDEX({"EAD";"EAD";"EAD";"EAD MOOC";"EAD";"EAD";"EAD FP";"EAD";"PRESENCIAL";"PRESENCIAL";"PRESENCIAL";"PRESENCIAL"}, MATCH(CONCATENATE(E258, ".", F258),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59" spans="1:42" x14ac:dyDescent="0.25">
      <c r="A259" s="1" t="s">
        <v>27</v>
      </c>
      <c r="B259" s="1" t="s">
        <v>41</v>
      </c>
      <c r="C259" s="1" t="s">
        <v>29</v>
      </c>
      <c r="D259" s="1" t="s">
        <v>42</v>
      </c>
      <c r="E259" s="1" t="s">
        <v>120</v>
      </c>
      <c r="F259" s="1" t="s">
        <v>21</v>
      </c>
      <c r="G259" s="1" t="s">
        <v>128</v>
      </c>
      <c r="H259" s="1" t="s">
        <v>132</v>
      </c>
      <c r="I259" s="1" t="s">
        <v>107</v>
      </c>
      <c r="J259" s="1" t="s">
        <v>108</v>
      </c>
      <c r="K259" s="1" t="s">
        <v>130</v>
      </c>
      <c r="L259" s="1">
        <v>2766737</v>
      </c>
      <c r="M259" s="1" t="s">
        <v>433</v>
      </c>
      <c r="N259" s="5">
        <f t="shared" si="84"/>
        <v>44287</v>
      </c>
      <c r="O259" s="5">
        <f>DATE(2023,12,31)</f>
        <v>45291</v>
      </c>
      <c r="P259" s="5">
        <f t="shared" si="61"/>
        <v>46386</v>
      </c>
      <c r="Q259" s="1">
        <v>3614</v>
      </c>
      <c r="R259" s="1">
        <v>1200</v>
      </c>
      <c r="S259" s="1">
        <f t="shared" si="62"/>
        <v>3200</v>
      </c>
      <c r="T259" s="1">
        <v>2.5</v>
      </c>
      <c r="U259" s="1" t="str">
        <f t="shared" si="63"/>
        <v>SIM</v>
      </c>
      <c r="V259" s="1">
        <f t="shared" si="64"/>
        <v>1005</v>
      </c>
      <c r="W259" s="4">
        <f t="shared" si="65"/>
        <v>3.1840796019900499</v>
      </c>
      <c r="X259" s="4">
        <f t="shared" si="66"/>
        <v>1162.1890547263681</v>
      </c>
      <c r="Y259" s="4">
        <f t="shared" si="67"/>
        <v>1.4527363184079602</v>
      </c>
      <c r="AB259" s="5">
        <f t="shared" si="68"/>
        <v>45292</v>
      </c>
      <c r="AC259" s="5">
        <f t="shared" si="69"/>
        <v>45657</v>
      </c>
      <c r="AD259" s="1">
        <v>47</v>
      </c>
      <c r="AE259" s="1">
        <f t="shared" si="70"/>
        <v>0</v>
      </c>
      <c r="AF259" s="1">
        <f t="shared" si="71"/>
        <v>0</v>
      </c>
      <c r="AG259" s="1">
        <f t="shared" si="72"/>
        <v>0</v>
      </c>
      <c r="AH259" s="1">
        <f t="shared" si="73"/>
        <v>0</v>
      </c>
      <c r="AI259" s="1">
        <f t="shared" si="74"/>
        <v>183</v>
      </c>
      <c r="AJ259" s="3">
        <f t="shared" si="75"/>
        <v>0.5</v>
      </c>
      <c r="AK259" s="3">
        <f t="shared" si="76"/>
        <v>0.72636815920398012</v>
      </c>
      <c r="AL259" s="3">
        <f t="shared" si="77"/>
        <v>17.069651741293534</v>
      </c>
      <c r="AM259" s="3">
        <f t="shared" si="78"/>
        <v>42.674129353233837</v>
      </c>
      <c r="AN259" s="3">
        <f t="shared" si="79"/>
        <v>21.337064676616919</v>
      </c>
      <c r="AO259" s="3">
        <f t="shared" si="80"/>
        <v>64.011194029850756</v>
      </c>
      <c r="AP259" s="1" t="str">
        <f>INDEX({"EAD";"EAD";"EAD";"EAD MOOC";"EAD";"EAD";"EAD FP";"EAD";"PRESENCIAL";"PRESENCIAL";"PRESENCIAL";"PRESENCIAL"}, MATCH(CONCATENATE(E259, ".", F259),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60" spans="1:42" x14ac:dyDescent="0.25">
      <c r="A260" s="1" t="s">
        <v>27</v>
      </c>
      <c r="B260" s="1" t="s">
        <v>41</v>
      </c>
      <c r="C260" s="1" t="s">
        <v>29</v>
      </c>
      <c r="D260" s="1" t="s">
        <v>42</v>
      </c>
      <c r="E260" s="1" t="s">
        <v>120</v>
      </c>
      <c r="F260" s="1" t="s">
        <v>21</v>
      </c>
      <c r="G260" s="1" t="s">
        <v>128</v>
      </c>
      <c r="H260" s="1" t="s">
        <v>315</v>
      </c>
      <c r="I260" s="1" t="s">
        <v>228</v>
      </c>
      <c r="J260" s="1" t="s">
        <v>108</v>
      </c>
      <c r="K260" s="1" t="s">
        <v>130</v>
      </c>
      <c r="L260" s="1">
        <v>2766746</v>
      </c>
      <c r="M260" s="1" t="s">
        <v>434</v>
      </c>
      <c r="N260" s="5">
        <f t="shared" si="84"/>
        <v>44287</v>
      </c>
      <c r="O260" s="5">
        <f>DATE(2023,12,31)</f>
        <v>45291</v>
      </c>
      <c r="P260" s="5">
        <f t="shared" ref="P260:P323" si="85">IF(G260="QUALIFICACAO PROFISSIONAL (FIC)",O260,O260+1095)</f>
        <v>46386</v>
      </c>
      <c r="Q260" s="1">
        <v>3498</v>
      </c>
      <c r="R260" s="1">
        <v>1000</v>
      </c>
      <c r="S260" s="1">
        <f t="shared" ref="S260:S323" si="86">IF(OR(G260="QUALIFICACAO PROFISSIONAL (FIC)",G260="DOUTORADO"),Q260,    IF(ISNUMBER(FIND("PROEJA",K260)),2400,        IF(K260="INTEGRADO",            IF(R260=800,3000,                IF(R260=1000,3100,                    IF(R260=1200,3200,R260)                )            ),            R260        )    ))</f>
        <v>3100</v>
      </c>
      <c r="T260" s="1">
        <v>2.5</v>
      </c>
      <c r="U260" s="1" t="str">
        <f t="shared" ref="U260:U323" si="87">IF(P260&lt;AB260,"NÃO","SIM")</f>
        <v>SIM</v>
      </c>
      <c r="V260" s="1">
        <f t="shared" ref="V260:V323" si="88">O260-N260+1</f>
        <v>1005</v>
      </c>
      <c r="W260" s="4">
        <f t="shared" ref="W260:W323" si="89">IF(S260&gt;Q260,Q260,S260)/V260</f>
        <v>3.0845771144278609</v>
      </c>
      <c r="X260" s="4">
        <f t="shared" ref="X260:X323" si="90">IF(V260&gt;365,W260*365,S260)</f>
        <v>1125.8706467661693</v>
      </c>
      <c r="Y260" s="4">
        <f t="shared" ref="Y260:Y323" si="91">IF(V260&gt;365,X260/800,S260/800)</f>
        <v>1.4073383084577116</v>
      </c>
      <c r="AB260" s="5">
        <f t="shared" ref="AB260:AB323" si="92">DATE(2024,1,1)</f>
        <v>45292</v>
      </c>
      <c r="AC260" s="5">
        <f t="shared" ref="AC260:AC323" si="93">DATE(2024,12,31)</f>
        <v>45657</v>
      </c>
      <c r="AD260" s="1">
        <v>47</v>
      </c>
      <c r="AE260" s="1">
        <f t="shared" ref="AE260:AE323" si="94">IF(AND(N260&lt;AB260,O260&gt;AC260),AC260-AB260+1,0)</f>
        <v>0</v>
      </c>
      <c r="AF260" s="1">
        <f t="shared" ref="AF260:AF323" si="95">IF(AND(N260&gt;=AB260,O260&gt;AC260,N260&lt;AC260),AC260-N260+1,0)</f>
        <v>0</v>
      </c>
      <c r="AG260" s="1">
        <f t="shared" ref="AG260:AG323" si="96">IF(AND(N260&lt;AB260,O260&lt;=AC260,O260&gt;=AB260),O260-AB260+1,0)</f>
        <v>0</v>
      </c>
      <c r="AH260" s="1">
        <f t="shared" ref="AH260:AH323" si="97">IF(AND(N260&gt;=AB260,O260&lt;=AC260),O260-N260+1,0)</f>
        <v>0</v>
      </c>
      <c r="AI260" s="1">
        <f t="shared" ref="AI260:AI323" si="98">IF(AND(N260&lt;AB260,O260&lt;AB260),(AC260-AB260+1)/2,0)</f>
        <v>183</v>
      </c>
      <c r="AJ260" s="3">
        <f t="shared" ref="AJ260:AJ323" si="99">SUM(AE260:AI260)/IF(V260&gt;=365,AC260-AB260+1,V260)</f>
        <v>0.5</v>
      </c>
      <c r="AK260" s="3">
        <f t="shared" ref="AK260:AK323" si="100">Y260*AJ260</f>
        <v>0.70366915422885579</v>
      </c>
      <c r="AL260" s="3">
        <f t="shared" ref="AL260:AL323" si="101">IF(AI260=0,AK260*AD260,IF(U260="SIM",AK260*(AD260/2),0))</f>
        <v>16.53622512437811</v>
      </c>
      <c r="AM260" s="3">
        <f t="shared" ref="AM260:AM323" si="102">AL260*T260</f>
        <v>41.340562810945272</v>
      </c>
      <c r="AN260" s="3">
        <f t="shared" ref="AN260:AN323" si="103">IF(J260="SIM",AM260*50%,0)</f>
        <v>20.670281405472636</v>
      </c>
      <c r="AO260" s="3">
        <f t="shared" ref="AO260:AO323" si="104">IF(U260="SIM",AM260+AN260,0)</f>
        <v>62.010844216417908</v>
      </c>
      <c r="AP260" s="1" t="str">
        <f>INDEX({"EAD";"EAD";"EAD";"EAD MOOC";"EAD";"EAD";"EAD FP";"EAD";"PRESENCIAL";"PRESENCIAL";"PRESENCIAL";"PRESENCIAL"}, MATCH(CONCATENATE(E260, ".", F260),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61" spans="1:42" x14ac:dyDescent="0.25">
      <c r="A261" s="1" t="s">
        <v>27</v>
      </c>
      <c r="B261" s="1" t="s">
        <v>41</v>
      </c>
      <c r="C261" s="1" t="s">
        <v>29</v>
      </c>
      <c r="D261" s="1" t="s">
        <v>42</v>
      </c>
      <c r="E261" s="1" t="s">
        <v>120</v>
      </c>
      <c r="F261" s="1" t="s">
        <v>21</v>
      </c>
      <c r="G261" s="1" t="s">
        <v>178</v>
      </c>
      <c r="H261" s="1" t="s">
        <v>435</v>
      </c>
      <c r="I261" s="1" t="s">
        <v>172</v>
      </c>
      <c r="J261" s="1" t="s">
        <v>125</v>
      </c>
      <c r="K261" s="1" t="s">
        <v>109</v>
      </c>
      <c r="L261" s="1">
        <v>2789041</v>
      </c>
      <c r="M261" s="1" t="s">
        <v>436</v>
      </c>
      <c r="N261" s="5">
        <f>DATE(2021,8,2)</f>
        <v>44410</v>
      </c>
      <c r="O261" s="5">
        <f>DATE(2023,1,2)</f>
        <v>44928</v>
      </c>
      <c r="P261" s="5">
        <f t="shared" si="85"/>
        <v>46023</v>
      </c>
      <c r="Q261" s="1">
        <v>450</v>
      </c>
      <c r="R261" s="1">
        <v>360</v>
      </c>
      <c r="S261" s="1">
        <f t="shared" si="86"/>
        <v>360</v>
      </c>
      <c r="T261" s="1">
        <v>2</v>
      </c>
      <c r="U261" s="1" t="str">
        <f t="shared" si="87"/>
        <v>SIM</v>
      </c>
      <c r="V261" s="1">
        <f t="shared" si="88"/>
        <v>519</v>
      </c>
      <c r="W261" s="4">
        <f t="shared" si="89"/>
        <v>0.69364161849710981</v>
      </c>
      <c r="X261" s="4">
        <f t="shared" si="90"/>
        <v>253.17919075144508</v>
      </c>
      <c r="Y261" s="4">
        <f t="shared" si="91"/>
        <v>0.31647398843930635</v>
      </c>
      <c r="AB261" s="5">
        <f t="shared" si="92"/>
        <v>45292</v>
      </c>
      <c r="AC261" s="5">
        <f t="shared" si="93"/>
        <v>45657</v>
      </c>
      <c r="AD261" s="1">
        <v>11</v>
      </c>
      <c r="AE261" s="1">
        <f t="shared" si="94"/>
        <v>0</v>
      </c>
      <c r="AF261" s="1">
        <f t="shared" si="95"/>
        <v>0</v>
      </c>
      <c r="AG261" s="1">
        <f t="shared" si="96"/>
        <v>0</v>
      </c>
      <c r="AH261" s="1">
        <f t="shared" si="97"/>
        <v>0</v>
      </c>
      <c r="AI261" s="1">
        <f t="shared" si="98"/>
        <v>183</v>
      </c>
      <c r="AJ261" s="3">
        <f t="shared" si="99"/>
        <v>0.5</v>
      </c>
      <c r="AK261" s="3">
        <f t="shared" si="100"/>
        <v>0.15823699421965318</v>
      </c>
      <c r="AL261" s="3">
        <f t="shared" si="101"/>
        <v>0.87030346820809246</v>
      </c>
      <c r="AM261" s="3">
        <f t="shared" si="102"/>
        <v>1.7406069364161849</v>
      </c>
      <c r="AN261" s="3">
        <f t="shared" si="103"/>
        <v>0</v>
      </c>
      <c r="AO261" s="3">
        <f t="shared" si="104"/>
        <v>1.7406069364161849</v>
      </c>
      <c r="AP261" s="1" t="str">
        <f>INDEX({"EAD";"EAD";"EAD";"EAD MOOC";"EAD";"EAD";"EAD FP";"EAD";"PRESENCIAL";"PRESENCIAL";"PRESENCIAL";"PRESENCIAL"}, MATCH(CONCATENATE(E261, ".", F261),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62" spans="1:42" x14ac:dyDescent="0.25">
      <c r="A262" s="1" t="s">
        <v>27</v>
      </c>
      <c r="B262" s="1" t="s">
        <v>41</v>
      </c>
      <c r="C262" s="1" t="s">
        <v>29</v>
      </c>
      <c r="D262" s="1" t="s">
        <v>42</v>
      </c>
      <c r="E262" s="1" t="s">
        <v>120</v>
      </c>
      <c r="F262" s="1" t="s">
        <v>21</v>
      </c>
      <c r="G262" s="1" t="s">
        <v>178</v>
      </c>
      <c r="H262" s="1" t="s">
        <v>437</v>
      </c>
      <c r="I262" s="1" t="s">
        <v>172</v>
      </c>
      <c r="J262" s="1" t="s">
        <v>125</v>
      </c>
      <c r="K262" s="1" t="s">
        <v>109</v>
      </c>
      <c r="L262" s="1">
        <v>2796317</v>
      </c>
      <c r="M262" s="1" t="s">
        <v>438</v>
      </c>
      <c r="N262" s="5">
        <f>DATE(2021,8,2)</f>
        <v>44410</v>
      </c>
      <c r="O262" s="5">
        <f>DATE(2023,2,2)</f>
        <v>44959</v>
      </c>
      <c r="P262" s="5">
        <f t="shared" si="85"/>
        <v>46054</v>
      </c>
      <c r="Q262" s="1">
        <v>470</v>
      </c>
      <c r="R262" s="1">
        <v>2400</v>
      </c>
      <c r="S262" s="1">
        <f t="shared" si="86"/>
        <v>2400</v>
      </c>
      <c r="T262" s="1">
        <v>2</v>
      </c>
      <c r="U262" s="1" t="str">
        <f t="shared" si="87"/>
        <v>SIM</v>
      </c>
      <c r="V262" s="1">
        <f t="shared" si="88"/>
        <v>550</v>
      </c>
      <c r="W262" s="4">
        <f t="shared" si="89"/>
        <v>0.8545454545454545</v>
      </c>
      <c r="X262" s="4">
        <f t="shared" si="90"/>
        <v>311.90909090909088</v>
      </c>
      <c r="Y262" s="4">
        <f t="shared" si="91"/>
        <v>0.38988636363636359</v>
      </c>
      <c r="AB262" s="5">
        <f t="shared" si="92"/>
        <v>45292</v>
      </c>
      <c r="AC262" s="5">
        <f t="shared" si="93"/>
        <v>45657</v>
      </c>
      <c r="AD262" s="1">
        <v>11</v>
      </c>
      <c r="AE262" s="1">
        <f t="shared" si="94"/>
        <v>0</v>
      </c>
      <c r="AF262" s="1">
        <f t="shared" si="95"/>
        <v>0</v>
      </c>
      <c r="AG262" s="1">
        <f t="shared" si="96"/>
        <v>0</v>
      </c>
      <c r="AH262" s="1">
        <f t="shared" si="97"/>
        <v>0</v>
      </c>
      <c r="AI262" s="1">
        <f t="shared" si="98"/>
        <v>183</v>
      </c>
      <c r="AJ262" s="3">
        <f t="shared" si="99"/>
        <v>0.5</v>
      </c>
      <c r="AK262" s="3">
        <f t="shared" si="100"/>
        <v>0.19494318181818179</v>
      </c>
      <c r="AL262" s="3">
        <f t="shared" si="101"/>
        <v>1.0721874999999998</v>
      </c>
      <c r="AM262" s="3">
        <f t="shared" si="102"/>
        <v>2.1443749999999997</v>
      </c>
      <c r="AN262" s="3">
        <f t="shared" si="103"/>
        <v>0</v>
      </c>
      <c r="AO262" s="3">
        <f t="shared" si="104"/>
        <v>2.1443749999999997</v>
      </c>
      <c r="AP262" s="1" t="str">
        <f>INDEX({"EAD";"EAD";"EAD";"EAD MOOC";"EAD";"EAD";"EAD FP";"EAD";"PRESENCIAL";"PRESENCIAL";"PRESENCIAL";"PRESENCIAL"}, MATCH(CONCATENATE(E262, ".", F262),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63" spans="1:42" x14ac:dyDescent="0.25">
      <c r="A263" s="1" t="s">
        <v>27</v>
      </c>
      <c r="B263" s="1" t="s">
        <v>41</v>
      </c>
      <c r="C263" s="1" t="s">
        <v>29</v>
      </c>
      <c r="D263" s="1" t="s">
        <v>42</v>
      </c>
      <c r="E263" s="1" t="s">
        <v>120</v>
      </c>
      <c r="F263" s="1" t="s">
        <v>21</v>
      </c>
      <c r="G263" s="1" t="s">
        <v>128</v>
      </c>
      <c r="H263" s="1" t="s">
        <v>132</v>
      </c>
      <c r="I263" s="1" t="s">
        <v>107</v>
      </c>
      <c r="J263" s="1" t="s">
        <v>108</v>
      </c>
      <c r="K263" s="1" t="s">
        <v>130</v>
      </c>
      <c r="L263" s="1">
        <v>2847364</v>
      </c>
      <c r="M263" s="1" t="s">
        <v>439</v>
      </c>
      <c r="N263" s="5">
        <f t="shared" ref="N263:N269" si="105">DATE(2022,2,14)</f>
        <v>44606</v>
      </c>
      <c r="O263" s="5">
        <f>DATE(2024,12,31)</f>
        <v>45657</v>
      </c>
      <c r="P263" s="5">
        <f t="shared" si="85"/>
        <v>46752</v>
      </c>
      <c r="Q263" s="1">
        <v>3614</v>
      </c>
      <c r="R263" s="1">
        <v>1200</v>
      </c>
      <c r="S263" s="1">
        <f t="shared" si="86"/>
        <v>3200</v>
      </c>
      <c r="T263" s="1">
        <v>2.5</v>
      </c>
      <c r="U263" s="1" t="str">
        <f t="shared" si="87"/>
        <v>SIM</v>
      </c>
      <c r="V263" s="1">
        <f t="shared" si="88"/>
        <v>1052</v>
      </c>
      <c r="W263" s="4">
        <f t="shared" si="89"/>
        <v>3.041825095057034</v>
      </c>
      <c r="X263" s="4">
        <f t="shared" si="90"/>
        <v>1110.2661596958174</v>
      </c>
      <c r="Y263" s="4">
        <f t="shared" si="91"/>
        <v>1.3878326996197716</v>
      </c>
      <c r="AB263" s="5">
        <f t="shared" si="92"/>
        <v>45292</v>
      </c>
      <c r="AC263" s="5">
        <f t="shared" si="93"/>
        <v>45657</v>
      </c>
      <c r="AD263" s="1">
        <v>47</v>
      </c>
      <c r="AE263" s="1">
        <f t="shared" si="94"/>
        <v>0</v>
      </c>
      <c r="AF263" s="1">
        <f t="shared" si="95"/>
        <v>0</v>
      </c>
      <c r="AG263" s="1">
        <f t="shared" si="96"/>
        <v>366</v>
      </c>
      <c r="AH263" s="1">
        <f t="shared" si="97"/>
        <v>0</v>
      </c>
      <c r="AI263" s="1">
        <f t="shared" si="98"/>
        <v>0</v>
      </c>
      <c r="AJ263" s="3">
        <f t="shared" si="99"/>
        <v>1</v>
      </c>
      <c r="AK263" s="3">
        <f t="shared" si="100"/>
        <v>1.3878326996197716</v>
      </c>
      <c r="AL263" s="3">
        <f t="shared" si="101"/>
        <v>65.228136882129263</v>
      </c>
      <c r="AM263" s="3">
        <f t="shared" si="102"/>
        <v>163.07034220532316</v>
      </c>
      <c r="AN263" s="3">
        <f t="shared" si="103"/>
        <v>81.535171102661579</v>
      </c>
      <c r="AO263" s="3">
        <f t="shared" si="104"/>
        <v>244.60551330798472</v>
      </c>
      <c r="AP263" s="1" t="str">
        <f>INDEX({"EAD";"EAD";"EAD";"EAD MOOC";"EAD";"EAD";"EAD FP";"EAD";"PRESENCIAL";"PRESENCIAL";"PRESENCIAL";"PRESENCIAL"}, MATCH(CONCATENATE(E263, ".", F263),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64" spans="1:42" x14ac:dyDescent="0.25">
      <c r="A264" s="1" t="s">
        <v>27</v>
      </c>
      <c r="B264" s="1" t="s">
        <v>41</v>
      </c>
      <c r="C264" s="1" t="s">
        <v>29</v>
      </c>
      <c r="D264" s="1" t="s">
        <v>42</v>
      </c>
      <c r="E264" s="1" t="s">
        <v>120</v>
      </c>
      <c r="F264" s="1" t="s">
        <v>21</v>
      </c>
      <c r="G264" s="1" t="s">
        <v>128</v>
      </c>
      <c r="H264" s="1" t="s">
        <v>315</v>
      </c>
      <c r="I264" s="1" t="s">
        <v>228</v>
      </c>
      <c r="J264" s="1" t="s">
        <v>108</v>
      </c>
      <c r="K264" s="1" t="s">
        <v>130</v>
      </c>
      <c r="L264" s="1">
        <v>2847451</v>
      </c>
      <c r="M264" s="1" t="s">
        <v>440</v>
      </c>
      <c r="N264" s="5">
        <f t="shared" si="105"/>
        <v>44606</v>
      </c>
      <c r="O264" s="5">
        <f>DATE(2024,12,31)</f>
        <v>45657</v>
      </c>
      <c r="P264" s="5">
        <f t="shared" si="85"/>
        <v>46752</v>
      </c>
      <c r="Q264" s="1">
        <v>3924</v>
      </c>
      <c r="R264" s="1">
        <v>1000</v>
      </c>
      <c r="S264" s="1">
        <f t="shared" si="86"/>
        <v>3100</v>
      </c>
      <c r="T264" s="1">
        <v>2.5</v>
      </c>
      <c r="U264" s="1" t="str">
        <f t="shared" si="87"/>
        <v>SIM</v>
      </c>
      <c r="V264" s="1">
        <f t="shared" si="88"/>
        <v>1052</v>
      </c>
      <c r="W264" s="4">
        <f t="shared" si="89"/>
        <v>2.9467680608365021</v>
      </c>
      <c r="X264" s="4">
        <f t="shared" si="90"/>
        <v>1075.5703422053232</v>
      </c>
      <c r="Y264" s="4">
        <f t="shared" si="91"/>
        <v>1.344462927756654</v>
      </c>
      <c r="AB264" s="5">
        <f t="shared" si="92"/>
        <v>45292</v>
      </c>
      <c r="AC264" s="5">
        <f t="shared" si="93"/>
        <v>45657</v>
      </c>
      <c r="AD264" s="1">
        <v>34</v>
      </c>
      <c r="AE264" s="1">
        <f t="shared" si="94"/>
        <v>0</v>
      </c>
      <c r="AF264" s="1">
        <f t="shared" si="95"/>
        <v>0</v>
      </c>
      <c r="AG264" s="1">
        <f t="shared" si="96"/>
        <v>366</v>
      </c>
      <c r="AH264" s="1">
        <f t="shared" si="97"/>
        <v>0</v>
      </c>
      <c r="AI264" s="1">
        <f t="shared" si="98"/>
        <v>0</v>
      </c>
      <c r="AJ264" s="3">
        <f t="shared" si="99"/>
        <v>1</v>
      </c>
      <c r="AK264" s="3">
        <f t="shared" si="100"/>
        <v>1.344462927756654</v>
      </c>
      <c r="AL264" s="3">
        <f t="shared" si="101"/>
        <v>45.711739543726239</v>
      </c>
      <c r="AM264" s="3">
        <f t="shared" si="102"/>
        <v>114.2793488593156</v>
      </c>
      <c r="AN264" s="3">
        <f t="shared" si="103"/>
        <v>57.139674429657802</v>
      </c>
      <c r="AO264" s="3">
        <f t="shared" si="104"/>
        <v>171.41902328897339</v>
      </c>
      <c r="AP264" s="1" t="str">
        <f>INDEX({"EAD";"EAD";"EAD";"EAD MOOC";"EAD";"EAD";"EAD FP";"EAD";"PRESENCIAL";"PRESENCIAL";"PRESENCIAL";"PRESENCIAL"}, MATCH(CONCATENATE(E264, ".", F264),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65" spans="1:42" x14ac:dyDescent="0.25">
      <c r="A265" s="1" t="s">
        <v>27</v>
      </c>
      <c r="B265" s="1" t="s">
        <v>41</v>
      </c>
      <c r="C265" s="1" t="s">
        <v>29</v>
      </c>
      <c r="D265" s="1" t="s">
        <v>42</v>
      </c>
      <c r="E265" s="1" t="s">
        <v>120</v>
      </c>
      <c r="F265" s="1" t="s">
        <v>21</v>
      </c>
      <c r="G265" s="1" t="s">
        <v>121</v>
      </c>
      <c r="H265" s="1" t="s">
        <v>322</v>
      </c>
      <c r="I265" s="1" t="s">
        <v>107</v>
      </c>
      <c r="J265" s="1" t="s">
        <v>108</v>
      </c>
      <c r="K265" s="1" t="s">
        <v>109</v>
      </c>
      <c r="L265" s="1">
        <v>2847659</v>
      </c>
      <c r="M265" s="1" t="s">
        <v>441</v>
      </c>
      <c r="N265" s="5">
        <f t="shared" si="105"/>
        <v>44606</v>
      </c>
      <c r="O265" s="5">
        <f>DATE(2026,12,31)</f>
        <v>46387</v>
      </c>
      <c r="P265" s="5">
        <f t="shared" si="85"/>
        <v>47482</v>
      </c>
      <c r="Q265" s="1">
        <v>4069</v>
      </c>
      <c r="R265" s="1">
        <v>3600</v>
      </c>
      <c r="S265" s="1">
        <f t="shared" si="86"/>
        <v>3600</v>
      </c>
      <c r="T265" s="1">
        <v>2.5</v>
      </c>
      <c r="U265" s="1" t="str">
        <f t="shared" si="87"/>
        <v>SIM</v>
      </c>
      <c r="V265" s="1">
        <f t="shared" si="88"/>
        <v>1782</v>
      </c>
      <c r="W265" s="4">
        <f t="shared" si="89"/>
        <v>2.0202020202020203</v>
      </c>
      <c r="X265" s="4">
        <f t="shared" si="90"/>
        <v>737.37373737373741</v>
      </c>
      <c r="Y265" s="4">
        <f t="shared" si="91"/>
        <v>0.92171717171717171</v>
      </c>
      <c r="AB265" s="5">
        <f t="shared" si="92"/>
        <v>45292</v>
      </c>
      <c r="AC265" s="5">
        <f t="shared" si="93"/>
        <v>45657</v>
      </c>
      <c r="AD265" s="1">
        <v>28</v>
      </c>
      <c r="AE265" s="1">
        <f t="shared" si="94"/>
        <v>366</v>
      </c>
      <c r="AF265" s="1">
        <f t="shared" si="95"/>
        <v>0</v>
      </c>
      <c r="AG265" s="1">
        <f t="shared" si="96"/>
        <v>0</v>
      </c>
      <c r="AH265" s="1">
        <f t="shared" si="97"/>
        <v>0</v>
      </c>
      <c r="AI265" s="1">
        <f t="shared" si="98"/>
        <v>0</v>
      </c>
      <c r="AJ265" s="3">
        <f t="shared" si="99"/>
        <v>1</v>
      </c>
      <c r="AK265" s="3">
        <f t="shared" si="100"/>
        <v>0.92171717171717171</v>
      </c>
      <c r="AL265" s="3">
        <f t="shared" si="101"/>
        <v>25.80808080808081</v>
      </c>
      <c r="AM265" s="3">
        <f t="shared" si="102"/>
        <v>64.520202020202021</v>
      </c>
      <c r="AN265" s="3">
        <f t="shared" si="103"/>
        <v>32.26010101010101</v>
      </c>
      <c r="AO265" s="3">
        <f t="shared" si="104"/>
        <v>96.780303030303031</v>
      </c>
      <c r="AP265" s="1" t="str">
        <f>INDEX({"EAD";"EAD";"EAD";"EAD MOOC";"EAD";"EAD";"EAD FP";"EAD";"PRESENCIAL";"PRESENCIAL";"PRESENCIAL";"PRESENCIAL"}, MATCH(CONCATENATE(E265, ".", F265),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66" spans="1:42" x14ac:dyDescent="0.25">
      <c r="A266" s="1" t="s">
        <v>27</v>
      </c>
      <c r="B266" s="1" t="s">
        <v>41</v>
      </c>
      <c r="C266" s="1" t="s">
        <v>29</v>
      </c>
      <c r="D266" s="1" t="s">
        <v>42</v>
      </c>
      <c r="E266" s="1" t="s">
        <v>120</v>
      </c>
      <c r="F266" s="1" t="s">
        <v>21</v>
      </c>
      <c r="G266" s="1" t="s">
        <v>278</v>
      </c>
      <c r="H266" s="1" t="s">
        <v>405</v>
      </c>
      <c r="I266" s="1" t="s">
        <v>172</v>
      </c>
      <c r="J266" s="1" t="s">
        <v>125</v>
      </c>
      <c r="K266" s="1" t="s">
        <v>109</v>
      </c>
      <c r="L266" s="1">
        <v>2847662</v>
      </c>
      <c r="M266" s="1" t="s">
        <v>442</v>
      </c>
      <c r="N266" s="5">
        <f t="shared" si="105"/>
        <v>44606</v>
      </c>
      <c r="O266" s="5">
        <f>DATE(2025,12,31)</f>
        <v>46022</v>
      </c>
      <c r="P266" s="5">
        <f t="shared" si="85"/>
        <v>47117</v>
      </c>
      <c r="Q266" s="1">
        <v>3212</v>
      </c>
      <c r="R266" s="1">
        <v>3200</v>
      </c>
      <c r="S266" s="1">
        <f t="shared" si="86"/>
        <v>3200</v>
      </c>
      <c r="T266" s="1">
        <v>2.5</v>
      </c>
      <c r="U266" s="1" t="str">
        <f t="shared" si="87"/>
        <v>SIM</v>
      </c>
      <c r="V266" s="1">
        <f t="shared" si="88"/>
        <v>1417</v>
      </c>
      <c r="W266" s="4">
        <f t="shared" si="89"/>
        <v>2.2582921665490474</v>
      </c>
      <c r="X266" s="4">
        <f t="shared" si="90"/>
        <v>824.27664079040233</v>
      </c>
      <c r="Y266" s="4">
        <f t="shared" si="91"/>
        <v>1.0303458009880029</v>
      </c>
      <c r="AB266" s="5">
        <f t="shared" si="92"/>
        <v>45292</v>
      </c>
      <c r="AC266" s="5">
        <f t="shared" si="93"/>
        <v>45657</v>
      </c>
      <c r="AD266" s="1">
        <v>7</v>
      </c>
      <c r="AE266" s="1">
        <f t="shared" si="94"/>
        <v>366</v>
      </c>
      <c r="AF266" s="1">
        <f t="shared" si="95"/>
        <v>0</v>
      </c>
      <c r="AG266" s="1">
        <f t="shared" si="96"/>
        <v>0</v>
      </c>
      <c r="AH266" s="1">
        <f t="shared" si="97"/>
        <v>0</v>
      </c>
      <c r="AI266" s="1">
        <f t="shared" si="98"/>
        <v>0</v>
      </c>
      <c r="AJ266" s="3">
        <f t="shared" si="99"/>
        <v>1</v>
      </c>
      <c r="AK266" s="3">
        <f t="shared" si="100"/>
        <v>1.0303458009880029</v>
      </c>
      <c r="AL266" s="3">
        <f t="shared" si="101"/>
        <v>7.2124206069160204</v>
      </c>
      <c r="AM266" s="3">
        <f t="shared" si="102"/>
        <v>18.031051517290052</v>
      </c>
      <c r="AN266" s="3">
        <f t="shared" si="103"/>
        <v>0</v>
      </c>
      <c r="AO266" s="3">
        <f t="shared" si="104"/>
        <v>18.031051517290052</v>
      </c>
      <c r="AP266" s="1" t="str">
        <f>INDEX({"EAD";"EAD";"EAD";"EAD MOOC";"EAD";"EAD";"EAD FP";"EAD";"PRESENCIAL";"PRESENCIAL";"PRESENCIAL";"PRESENCIAL"}, MATCH(CONCATENATE(E266, ".", F266),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67" spans="1:42" x14ac:dyDescent="0.25">
      <c r="A267" s="1" t="s">
        <v>27</v>
      </c>
      <c r="B267" s="1" t="s">
        <v>41</v>
      </c>
      <c r="C267" s="1" t="s">
        <v>29</v>
      </c>
      <c r="D267" s="1" t="s">
        <v>42</v>
      </c>
      <c r="E267" s="1" t="s">
        <v>120</v>
      </c>
      <c r="F267" s="1" t="s">
        <v>21</v>
      </c>
      <c r="G267" s="1" t="s">
        <v>278</v>
      </c>
      <c r="H267" s="1" t="s">
        <v>279</v>
      </c>
      <c r="I267" s="1" t="s">
        <v>172</v>
      </c>
      <c r="J267" s="1" t="s">
        <v>125</v>
      </c>
      <c r="K267" s="1" t="s">
        <v>109</v>
      </c>
      <c r="L267" s="1">
        <v>2848036</v>
      </c>
      <c r="M267" s="1" t="s">
        <v>443</v>
      </c>
      <c r="N267" s="5">
        <f t="shared" si="105"/>
        <v>44606</v>
      </c>
      <c r="O267" s="5">
        <f>DATE(2025,12,31)</f>
        <v>46022</v>
      </c>
      <c r="P267" s="5">
        <f t="shared" si="85"/>
        <v>47117</v>
      </c>
      <c r="Q267" s="1">
        <v>3212</v>
      </c>
      <c r="R267" s="1">
        <v>3200</v>
      </c>
      <c r="S267" s="1">
        <f t="shared" si="86"/>
        <v>3200</v>
      </c>
      <c r="T267" s="1">
        <v>2.5</v>
      </c>
      <c r="U267" s="1" t="str">
        <f t="shared" si="87"/>
        <v>SIM</v>
      </c>
      <c r="V267" s="1">
        <f t="shared" si="88"/>
        <v>1417</v>
      </c>
      <c r="W267" s="4">
        <f t="shared" si="89"/>
        <v>2.2582921665490474</v>
      </c>
      <c r="X267" s="4">
        <f t="shared" si="90"/>
        <v>824.27664079040233</v>
      </c>
      <c r="Y267" s="4">
        <f t="shared" si="91"/>
        <v>1.0303458009880029</v>
      </c>
      <c r="AB267" s="5">
        <f t="shared" si="92"/>
        <v>45292</v>
      </c>
      <c r="AC267" s="5">
        <f t="shared" si="93"/>
        <v>45657</v>
      </c>
      <c r="AD267" s="1">
        <v>8</v>
      </c>
      <c r="AE267" s="1">
        <f t="shared" si="94"/>
        <v>366</v>
      </c>
      <c r="AF267" s="1">
        <f t="shared" si="95"/>
        <v>0</v>
      </c>
      <c r="AG267" s="1">
        <f t="shared" si="96"/>
        <v>0</v>
      </c>
      <c r="AH267" s="1">
        <f t="shared" si="97"/>
        <v>0</v>
      </c>
      <c r="AI267" s="1">
        <f t="shared" si="98"/>
        <v>0</v>
      </c>
      <c r="AJ267" s="3">
        <f t="shared" si="99"/>
        <v>1</v>
      </c>
      <c r="AK267" s="3">
        <f t="shared" si="100"/>
        <v>1.0303458009880029</v>
      </c>
      <c r="AL267" s="3">
        <f t="shared" si="101"/>
        <v>8.242766407904023</v>
      </c>
      <c r="AM267" s="3">
        <f t="shared" si="102"/>
        <v>20.606916019760057</v>
      </c>
      <c r="AN267" s="3">
        <f t="shared" si="103"/>
        <v>0</v>
      </c>
      <c r="AO267" s="3">
        <f t="shared" si="104"/>
        <v>20.606916019760057</v>
      </c>
      <c r="AP267" s="1" t="str">
        <f>INDEX({"EAD";"EAD";"EAD";"EAD MOOC";"EAD";"EAD";"EAD FP";"EAD";"PRESENCIAL";"PRESENCIAL";"PRESENCIAL";"PRESENCIAL"}, MATCH(CONCATENATE(E267, ".", F267),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68" spans="1:42" x14ac:dyDescent="0.25">
      <c r="A268" s="1" t="s">
        <v>27</v>
      </c>
      <c r="B268" s="1" t="s">
        <v>41</v>
      </c>
      <c r="C268" s="1" t="s">
        <v>29</v>
      </c>
      <c r="D268" s="1" t="s">
        <v>42</v>
      </c>
      <c r="E268" s="1" t="s">
        <v>120</v>
      </c>
      <c r="F268" s="1" t="s">
        <v>21</v>
      </c>
      <c r="G268" s="1" t="s">
        <v>278</v>
      </c>
      <c r="H268" s="1" t="s">
        <v>407</v>
      </c>
      <c r="I268" s="1" t="s">
        <v>172</v>
      </c>
      <c r="J268" s="1" t="s">
        <v>125</v>
      </c>
      <c r="K268" s="1" t="s">
        <v>109</v>
      </c>
      <c r="L268" s="1">
        <v>2848038</v>
      </c>
      <c r="M268" s="1" t="s">
        <v>444</v>
      </c>
      <c r="N268" s="5">
        <f t="shared" si="105"/>
        <v>44606</v>
      </c>
      <c r="O268" s="5">
        <f>DATE(2025,12,31)</f>
        <v>46022</v>
      </c>
      <c r="P268" s="5">
        <f t="shared" si="85"/>
        <v>47117</v>
      </c>
      <c r="Q268" s="1">
        <v>3212</v>
      </c>
      <c r="R268" s="1">
        <v>3200</v>
      </c>
      <c r="S268" s="1">
        <f t="shared" si="86"/>
        <v>3200</v>
      </c>
      <c r="T268" s="1">
        <v>2.5</v>
      </c>
      <c r="U268" s="1" t="str">
        <f t="shared" si="87"/>
        <v>SIM</v>
      </c>
      <c r="V268" s="1">
        <f t="shared" si="88"/>
        <v>1417</v>
      </c>
      <c r="W268" s="4">
        <f t="shared" si="89"/>
        <v>2.2582921665490474</v>
      </c>
      <c r="X268" s="4">
        <f t="shared" si="90"/>
        <v>824.27664079040233</v>
      </c>
      <c r="Y268" s="4">
        <f t="shared" si="91"/>
        <v>1.0303458009880029</v>
      </c>
      <c r="AB268" s="5">
        <f t="shared" si="92"/>
        <v>45292</v>
      </c>
      <c r="AC268" s="5">
        <f t="shared" si="93"/>
        <v>45657</v>
      </c>
      <c r="AD268" s="1">
        <v>2</v>
      </c>
      <c r="AE268" s="1">
        <f t="shared" si="94"/>
        <v>366</v>
      </c>
      <c r="AF268" s="1">
        <f t="shared" si="95"/>
        <v>0</v>
      </c>
      <c r="AG268" s="1">
        <f t="shared" si="96"/>
        <v>0</v>
      </c>
      <c r="AH268" s="1">
        <f t="shared" si="97"/>
        <v>0</v>
      </c>
      <c r="AI268" s="1">
        <f t="shared" si="98"/>
        <v>0</v>
      </c>
      <c r="AJ268" s="3">
        <f t="shared" si="99"/>
        <v>1</v>
      </c>
      <c r="AK268" s="3">
        <f t="shared" si="100"/>
        <v>1.0303458009880029</v>
      </c>
      <c r="AL268" s="3">
        <f t="shared" si="101"/>
        <v>2.0606916019760058</v>
      </c>
      <c r="AM268" s="3">
        <f t="shared" si="102"/>
        <v>5.1517290049400142</v>
      </c>
      <c r="AN268" s="3">
        <f t="shared" si="103"/>
        <v>0</v>
      </c>
      <c r="AO268" s="3">
        <f t="shared" si="104"/>
        <v>5.1517290049400142</v>
      </c>
      <c r="AP268" s="1" t="str">
        <f>INDEX({"EAD";"EAD";"EAD";"EAD MOOC";"EAD";"EAD";"EAD FP";"EAD";"PRESENCIAL";"PRESENCIAL";"PRESENCIAL";"PRESENCIAL"}, MATCH(CONCATENATE(E268, ".", F268),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69" spans="1:42" x14ac:dyDescent="0.25">
      <c r="A269" s="1" t="s">
        <v>27</v>
      </c>
      <c r="B269" s="1" t="s">
        <v>41</v>
      </c>
      <c r="C269" s="1" t="s">
        <v>29</v>
      </c>
      <c r="D269" s="1" t="s">
        <v>42</v>
      </c>
      <c r="E269" s="1" t="s">
        <v>120</v>
      </c>
      <c r="F269" s="1" t="s">
        <v>21</v>
      </c>
      <c r="G269" s="1" t="s">
        <v>128</v>
      </c>
      <c r="H269" s="1" t="s">
        <v>445</v>
      </c>
      <c r="I269" s="1" t="s">
        <v>107</v>
      </c>
      <c r="J269" s="1" t="s">
        <v>108</v>
      </c>
      <c r="K269" s="1" t="s">
        <v>163</v>
      </c>
      <c r="L269" s="1">
        <v>2848043</v>
      </c>
      <c r="M269" s="1" t="s">
        <v>446</v>
      </c>
      <c r="N269" s="5">
        <f t="shared" si="105"/>
        <v>44606</v>
      </c>
      <c r="O269" s="5">
        <f>DATE(2023,9,30)</f>
        <v>45199</v>
      </c>
      <c r="P269" s="5">
        <f t="shared" si="85"/>
        <v>46294</v>
      </c>
      <c r="Q269" s="1">
        <v>1200</v>
      </c>
      <c r="R269" s="1">
        <v>1200</v>
      </c>
      <c r="S269" s="1">
        <f t="shared" si="86"/>
        <v>1200</v>
      </c>
      <c r="T269" s="1">
        <v>2</v>
      </c>
      <c r="U269" s="1" t="str">
        <f t="shared" si="87"/>
        <v>SIM</v>
      </c>
      <c r="V269" s="1">
        <f t="shared" si="88"/>
        <v>594</v>
      </c>
      <c r="W269" s="4">
        <f t="shared" si="89"/>
        <v>2.0202020202020203</v>
      </c>
      <c r="X269" s="4">
        <f t="shared" si="90"/>
        <v>737.37373737373741</v>
      </c>
      <c r="Y269" s="4">
        <f t="shared" si="91"/>
        <v>0.92171717171717171</v>
      </c>
      <c r="AB269" s="5">
        <f t="shared" si="92"/>
        <v>45292</v>
      </c>
      <c r="AC269" s="5">
        <f t="shared" si="93"/>
        <v>45657</v>
      </c>
      <c r="AD269" s="1">
        <v>23</v>
      </c>
      <c r="AE269" s="1">
        <f t="shared" si="94"/>
        <v>0</v>
      </c>
      <c r="AF269" s="1">
        <f t="shared" si="95"/>
        <v>0</v>
      </c>
      <c r="AG269" s="1">
        <f t="shared" si="96"/>
        <v>0</v>
      </c>
      <c r="AH269" s="1">
        <f t="shared" si="97"/>
        <v>0</v>
      </c>
      <c r="AI269" s="1">
        <f t="shared" si="98"/>
        <v>183</v>
      </c>
      <c r="AJ269" s="3">
        <f t="shared" si="99"/>
        <v>0.5</v>
      </c>
      <c r="AK269" s="3">
        <f t="shared" si="100"/>
        <v>0.46085858585858586</v>
      </c>
      <c r="AL269" s="3">
        <f t="shared" si="101"/>
        <v>5.299873737373737</v>
      </c>
      <c r="AM269" s="3">
        <f t="shared" si="102"/>
        <v>10.599747474747474</v>
      </c>
      <c r="AN269" s="3">
        <f t="shared" si="103"/>
        <v>5.299873737373737</v>
      </c>
      <c r="AO269" s="3">
        <f t="shared" si="104"/>
        <v>15.899621212121211</v>
      </c>
      <c r="AP269" s="1" t="str">
        <f>INDEX({"EAD";"EAD";"EAD";"EAD MOOC";"EAD";"EAD";"EAD FP";"EAD";"PRESENCIAL";"PRESENCIAL";"PRESENCIAL";"PRESENCIAL"}, MATCH(CONCATENATE(E269, ".", F269),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70" spans="1:42" x14ac:dyDescent="0.25">
      <c r="A270" s="1" t="s">
        <v>27</v>
      </c>
      <c r="B270" s="1" t="s">
        <v>41</v>
      </c>
      <c r="C270" s="1" t="s">
        <v>29</v>
      </c>
      <c r="D270" s="1" t="s">
        <v>42</v>
      </c>
      <c r="E270" s="1" t="s">
        <v>120</v>
      </c>
      <c r="F270" s="1" t="s">
        <v>447</v>
      </c>
      <c r="G270" s="1" t="s">
        <v>178</v>
      </c>
      <c r="H270" s="1" t="s">
        <v>448</v>
      </c>
      <c r="I270" s="1" t="s">
        <v>449</v>
      </c>
      <c r="J270" s="1" t="s">
        <v>125</v>
      </c>
      <c r="K270" s="1" t="s">
        <v>109</v>
      </c>
      <c r="L270" s="1">
        <v>2859236</v>
      </c>
      <c r="M270" s="1" t="s">
        <v>450</v>
      </c>
      <c r="N270" s="5">
        <f>DATE(2022,3,18)</f>
        <v>44638</v>
      </c>
      <c r="O270" s="5">
        <f>DATE(2023,9,18)</f>
        <v>45187</v>
      </c>
      <c r="P270" s="5">
        <f t="shared" si="85"/>
        <v>46282</v>
      </c>
      <c r="Q270" s="1">
        <v>420</v>
      </c>
      <c r="R270" s="1">
        <v>360</v>
      </c>
      <c r="S270" s="1">
        <f t="shared" si="86"/>
        <v>360</v>
      </c>
      <c r="T270" s="1">
        <v>2.5</v>
      </c>
      <c r="U270" s="1" t="str">
        <f t="shared" si="87"/>
        <v>SIM</v>
      </c>
      <c r="V270" s="1">
        <f t="shared" si="88"/>
        <v>550</v>
      </c>
      <c r="W270" s="4">
        <f t="shared" si="89"/>
        <v>0.65454545454545454</v>
      </c>
      <c r="X270" s="4">
        <f t="shared" si="90"/>
        <v>238.90909090909091</v>
      </c>
      <c r="Y270" s="4">
        <f t="shared" si="91"/>
        <v>0.29863636363636364</v>
      </c>
      <c r="AB270" s="5">
        <f t="shared" si="92"/>
        <v>45292</v>
      </c>
      <c r="AC270" s="5">
        <f t="shared" si="93"/>
        <v>45657</v>
      </c>
      <c r="AD270" s="1">
        <v>7</v>
      </c>
      <c r="AE270" s="1">
        <f t="shared" si="94"/>
        <v>0</v>
      </c>
      <c r="AF270" s="1">
        <f t="shared" si="95"/>
        <v>0</v>
      </c>
      <c r="AG270" s="1">
        <f t="shared" si="96"/>
        <v>0</v>
      </c>
      <c r="AH270" s="1">
        <f t="shared" si="97"/>
        <v>0</v>
      </c>
      <c r="AI270" s="1">
        <f t="shared" si="98"/>
        <v>183</v>
      </c>
      <c r="AJ270" s="3">
        <f t="shared" si="99"/>
        <v>0.5</v>
      </c>
      <c r="AK270" s="3">
        <f t="shared" si="100"/>
        <v>0.14931818181818182</v>
      </c>
      <c r="AL270" s="3">
        <f t="shared" si="101"/>
        <v>0.52261363636363634</v>
      </c>
      <c r="AM270" s="3">
        <f t="shared" si="102"/>
        <v>1.3065340909090908</v>
      </c>
      <c r="AN270" s="3">
        <f t="shared" si="103"/>
        <v>0</v>
      </c>
      <c r="AO270" s="3">
        <f t="shared" si="104"/>
        <v>1.3065340909090908</v>
      </c>
      <c r="AP270" s="1" t="str">
        <f>INDEX({"EAD";"EAD";"EAD";"EAD MOOC";"EAD";"EAD";"EAD FP";"EAD";"PRESENCIAL";"PRESENCIAL";"PRESENCIAL";"PRESENCIAL"}, MATCH(CONCATENATE(E270, ".", F270),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71" spans="1:42" x14ac:dyDescent="0.25">
      <c r="A271" s="1" t="s">
        <v>27</v>
      </c>
      <c r="B271" s="1" t="s">
        <v>41</v>
      </c>
      <c r="C271" s="1" t="s">
        <v>29</v>
      </c>
      <c r="D271" s="1" t="s">
        <v>42</v>
      </c>
      <c r="E271" s="1" t="s">
        <v>120</v>
      </c>
      <c r="F271" s="1" t="s">
        <v>447</v>
      </c>
      <c r="G271" s="1" t="s">
        <v>161</v>
      </c>
      <c r="H271" s="1" t="s">
        <v>451</v>
      </c>
      <c r="I271" s="1" t="s">
        <v>449</v>
      </c>
      <c r="J271" s="1" t="s">
        <v>125</v>
      </c>
      <c r="K271" s="1" t="s">
        <v>109</v>
      </c>
      <c r="L271" s="1">
        <v>2859243</v>
      </c>
      <c r="M271" s="1" t="s">
        <v>452</v>
      </c>
      <c r="N271" s="5">
        <f>DATE(2022,3,18)</f>
        <v>44638</v>
      </c>
      <c r="O271" s="5">
        <f>DATE(2023,3,18)</f>
        <v>45003</v>
      </c>
      <c r="P271" s="5">
        <f t="shared" si="85"/>
        <v>45003</v>
      </c>
      <c r="Q271" s="1">
        <v>200</v>
      </c>
      <c r="R271" s="1">
        <v>160</v>
      </c>
      <c r="S271" s="1">
        <f t="shared" si="86"/>
        <v>200</v>
      </c>
      <c r="T271" s="1">
        <v>1</v>
      </c>
      <c r="U271" s="1" t="str">
        <f t="shared" si="87"/>
        <v>NÃO</v>
      </c>
      <c r="V271" s="1">
        <f t="shared" si="88"/>
        <v>366</v>
      </c>
      <c r="W271" s="4">
        <f t="shared" si="89"/>
        <v>0.54644808743169404</v>
      </c>
      <c r="X271" s="4">
        <f t="shared" si="90"/>
        <v>199.45355191256832</v>
      </c>
      <c r="Y271" s="4">
        <f t="shared" si="91"/>
        <v>0.24931693989071038</v>
      </c>
      <c r="AB271" s="5">
        <f t="shared" si="92"/>
        <v>45292</v>
      </c>
      <c r="AC271" s="5">
        <f t="shared" si="93"/>
        <v>45657</v>
      </c>
      <c r="AD271" s="1">
        <v>10</v>
      </c>
      <c r="AE271" s="1">
        <f t="shared" si="94"/>
        <v>0</v>
      </c>
      <c r="AF271" s="1">
        <f t="shared" si="95"/>
        <v>0</v>
      </c>
      <c r="AG271" s="1">
        <f t="shared" si="96"/>
        <v>0</v>
      </c>
      <c r="AH271" s="1">
        <f t="shared" si="97"/>
        <v>0</v>
      </c>
      <c r="AI271" s="1">
        <f t="shared" si="98"/>
        <v>183</v>
      </c>
      <c r="AJ271" s="3">
        <f t="shared" si="99"/>
        <v>0.5</v>
      </c>
      <c r="AK271" s="3">
        <f t="shared" si="100"/>
        <v>0.12465846994535519</v>
      </c>
      <c r="AL271" s="3">
        <f t="shared" si="101"/>
        <v>0</v>
      </c>
      <c r="AM271" s="3">
        <f t="shared" si="102"/>
        <v>0</v>
      </c>
      <c r="AN271" s="3">
        <f t="shared" si="103"/>
        <v>0</v>
      </c>
      <c r="AO271" s="3">
        <f t="shared" si="104"/>
        <v>0</v>
      </c>
      <c r="AP271" s="1" t="str">
        <f>INDEX({"EAD";"EAD";"EAD";"EAD MOOC";"EAD";"EAD";"EAD FP";"EAD";"PRESENCIAL";"PRESENCIAL";"PRESENCIAL";"PRESENCIAL"}, MATCH(CONCATENATE(E271, ".", F271),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72" spans="1:42" x14ac:dyDescent="0.25">
      <c r="A272" s="1" t="s">
        <v>27</v>
      </c>
      <c r="B272" s="1" t="s">
        <v>41</v>
      </c>
      <c r="C272" s="1" t="s">
        <v>29</v>
      </c>
      <c r="D272" s="1" t="s">
        <v>42</v>
      </c>
      <c r="E272" s="1" t="s">
        <v>120</v>
      </c>
      <c r="F272" s="1" t="s">
        <v>447</v>
      </c>
      <c r="G272" s="1" t="s">
        <v>161</v>
      </c>
      <c r="H272" s="1" t="s">
        <v>453</v>
      </c>
      <c r="I272" s="1" t="s">
        <v>107</v>
      </c>
      <c r="J272" s="1" t="s">
        <v>125</v>
      </c>
      <c r="K272" s="1" t="s">
        <v>109</v>
      </c>
      <c r="L272" s="1">
        <v>2859594</v>
      </c>
      <c r="M272" s="1" t="s">
        <v>454</v>
      </c>
      <c r="N272" s="5">
        <f>DATE(2022,3,24)</f>
        <v>44644</v>
      </c>
      <c r="O272" s="5">
        <f>DATE(2023,9,24)</f>
        <v>45193</v>
      </c>
      <c r="P272" s="5">
        <f t="shared" si="85"/>
        <v>45193</v>
      </c>
      <c r="Q272" s="1">
        <v>200</v>
      </c>
      <c r="R272" s="1">
        <v>160</v>
      </c>
      <c r="S272" s="1">
        <f t="shared" si="86"/>
        <v>200</v>
      </c>
      <c r="T272" s="1">
        <v>1</v>
      </c>
      <c r="U272" s="1" t="str">
        <f t="shared" si="87"/>
        <v>NÃO</v>
      </c>
      <c r="V272" s="1">
        <f t="shared" si="88"/>
        <v>550</v>
      </c>
      <c r="W272" s="4">
        <f t="shared" si="89"/>
        <v>0.36363636363636365</v>
      </c>
      <c r="X272" s="4">
        <f t="shared" si="90"/>
        <v>132.72727272727272</v>
      </c>
      <c r="Y272" s="4">
        <f t="shared" si="91"/>
        <v>0.16590909090909089</v>
      </c>
      <c r="AB272" s="5">
        <f t="shared" si="92"/>
        <v>45292</v>
      </c>
      <c r="AC272" s="5">
        <f t="shared" si="93"/>
        <v>45657</v>
      </c>
      <c r="AD272" s="1">
        <v>21</v>
      </c>
      <c r="AE272" s="1">
        <f t="shared" si="94"/>
        <v>0</v>
      </c>
      <c r="AF272" s="1">
        <f t="shared" si="95"/>
        <v>0</v>
      </c>
      <c r="AG272" s="1">
        <f t="shared" si="96"/>
        <v>0</v>
      </c>
      <c r="AH272" s="1">
        <f t="shared" si="97"/>
        <v>0</v>
      </c>
      <c r="AI272" s="1">
        <f t="shared" si="98"/>
        <v>183</v>
      </c>
      <c r="AJ272" s="3">
        <f t="shared" si="99"/>
        <v>0.5</v>
      </c>
      <c r="AK272" s="3">
        <f t="shared" si="100"/>
        <v>8.2954545454545447E-2</v>
      </c>
      <c r="AL272" s="3">
        <f t="shared" si="101"/>
        <v>0</v>
      </c>
      <c r="AM272" s="3">
        <f t="shared" si="102"/>
        <v>0</v>
      </c>
      <c r="AN272" s="3">
        <f t="shared" si="103"/>
        <v>0</v>
      </c>
      <c r="AO272" s="3">
        <f t="shared" si="104"/>
        <v>0</v>
      </c>
      <c r="AP272" s="1" t="str">
        <f>INDEX({"EAD";"EAD";"EAD";"EAD MOOC";"EAD";"EAD";"EAD FP";"EAD";"PRESENCIAL";"PRESENCIAL";"PRESENCIAL";"PRESENCIAL"}, MATCH(CONCATENATE(E272, ".", F272),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73" spans="1:42" x14ac:dyDescent="0.25">
      <c r="A273" s="1" t="s">
        <v>27</v>
      </c>
      <c r="B273" s="1" t="s">
        <v>41</v>
      </c>
      <c r="C273" s="1" t="s">
        <v>29</v>
      </c>
      <c r="D273" s="1" t="s">
        <v>42</v>
      </c>
      <c r="E273" s="1" t="s">
        <v>120</v>
      </c>
      <c r="F273" s="1" t="s">
        <v>21</v>
      </c>
      <c r="G273" s="1" t="s">
        <v>178</v>
      </c>
      <c r="H273" s="1" t="s">
        <v>455</v>
      </c>
      <c r="I273" s="1" t="s">
        <v>107</v>
      </c>
      <c r="J273" s="1" t="s">
        <v>125</v>
      </c>
      <c r="K273" s="1" t="s">
        <v>109</v>
      </c>
      <c r="L273" s="1">
        <v>2911300</v>
      </c>
      <c r="M273" s="1" t="s">
        <v>456</v>
      </c>
      <c r="N273" s="5">
        <f>DATE(2022,8,2)</f>
        <v>44775</v>
      </c>
      <c r="O273" s="5">
        <f>DATE(2024,2,2)</f>
        <v>45324</v>
      </c>
      <c r="P273" s="5">
        <f t="shared" si="85"/>
        <v>46419</v>
      </c>
      <c r="Q273" s="1">
        <v>420</v>
      </c>
      <c r="R273" s="1">
        <v>360</v>
      </c>
      <c r="S273" s="1">
        <f t="shared" si="86"/>
        <v>360</v>
      </c>
      <c r="T273" s="1">
        <v>2.5</v>
      </c>
      <c r="U273" s="1" t="str">
        <f t="shared" si="87"/>
        <v>SIM</v>
      </c>
      <c r="V273" s="1">
        <f t="shared" si="88"/>
        <v>550</v>
      </c>
      <c r="W273" s="4">
        <f t="shared" si="89"/>
        <v>0.65454545454545454</v>
      </c>
      <c r="X273" s="4">
        <f t="shared" si="90"/>
        <v>238.90909090909091</v>
      </c>
      <c r="Y273" s="4">
        <f t="shared" si="91"/>
        <v>0.29863636363636364</v>
      </c>
      <c r="AB273" s="5">
        <f t="shared" si="92"/>
        <v>45292</v>
      </c>
      <c r="AC273" s="5">
        <f t="shared" si="93"/>
        <v>45657</v>
      </c>
      <c r="AD273" s="1">
        <v>19</v>
      </c>
      <c r="AE273" s="1">
        <f t="shared" si="94"/>
        <v>0</v>
      </c>
      <c r="AF273" s="1">
        <f t="shared" si="95"/>
        <v>0</v>
      </c>
      <c r="AG273" s="1">
        <f t="shared" si="96"/>
        <v>33</v>
      </c>
      <c r="AH273" s="1">
        <f t="shared" si="97"/>
        <v>0</v>
      </c>
      <c r="AI273" s="1">
        <f t="shared" si="98"/>
        <v>0</v>
      </c>
      <c r="AJ273" s="3">
        <f t="shared" si="99"/>
        <v>9.0163934426229511E-2</v>
      </c>
      <c r="AK273" s="3">
        <f t="shared" si="100"/>
        <v>2.6926229508196724E-2</v>
      </c>
      <c r="AL273" s="3">
        <f t="shared" si="101"/>
        <v>0.51159836065573772</v>
      </c>
      <c r="AM273" s="3">
        <f t="shared" si="102"/>
        <v>1.2789959016393442</v>
      </c>
      <c r="AN273" s="3">
        <f t="shared" si="103"/>
        <v>0</v>
      </c>
      <c r="AO273" s="3">
        <f t="shared" si="104"/>
        <v>1.2789959016393442</v>
      </c>
      <c r="AP273" s="1" t="str">
        <f>INDEX({"EAD";"EAD";"EAD";"EAD MOOC";"EAD";"EAD";"EAD FP";"EAD";"PRESENCIAL";"PRESENCIAL";"PRESENCIAL";"PRESENCIAL"}, MATCH(CONCATENATE(E273, ".", F273),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74" spans="1:42" x14ac:dyDescent="0.25">
      <c r="A274" s="1" t="s">
        <v>27</v>
      </c>
      <c r="B274" s="1" t="s">
        <v>41</v>
      </c>
      <c r="C274" s="1" t="s">
        <v>29</v>
      </c>
      <c r="D274" s="1" t="s">
        <v>42</v>
      </c>
      <c r="E274" s="1" t="s">
        <v>120</v>
      </c>
      <c r="F274" s="1" t="s">
        <v>21</v>
      </c>
      <c r="G274" s="1" t="s">
        <v>128</v>
      </c>
      <c r="H274" s="1" t="s">
        <v>132</v>
      </c>
      <c r="I274" s="1" t="s">
        <v>107</v>
      </c>
      <c r="J274" s="1" t="s">
        <v>108</v>
      </c>
      <c r="K274" s="1" t="s">
        <v>130</v>
      </c>
      <c r="L274" s="1">
        <v>2950319</v>
      </c>
      <c r="M274" s="1" t="s">
        <v>457</v>
      </c>
      <c r="N274" s="5">
        <f t="shared" ref="N274:N283" si="106">DATE(2023,2,6)</f>
        <v>44963</v>
      </c>
      <c r="O274" s="5">
        <f>DATE(2025,12,31)</f>
        <v>46022</v>
      </c>
      <c r="P274" s="5">
        <f t="shared" si="85"/>
        <v>47117</v>
      </c>
      <c r="Q274" s="1">
        <v>3614</v>
      </c>
      <c r="R274" s="1">
        <v>1200</v>
      </c>
      <c r="S274" s="1">
        <f t="shared" si="86"/>
        <v>3200</v>
      </c>
      <c r="T274" s="1">
        <v>2.5</v>
      </c>
      <c r="U274" s="1" t="str">
        <f t="shared" si="87"/>
        <v>SIM</v>
      </c>
      <c r="V274" s="1">
        <f t="shared" si="88"/>
        <v>1060</v>
      </c>
      <c r="W274" s="4">
        <f t="shared" si="89"/>
        <v>3.0188679245283021</v>
      </c>
      <c r="X274" s="4">
        <f t="shared" si="90"/>
        <v>1101.8867924528304</v>
      </c>
      <c r="Y274" s="4">
        <f t="shared" si="91"/>
        <v>1.3773584905660379</v>
      </c>
      <c r="AB274" s="5">
        <f t="shared" si="92"/>
        <v>45292</v>
      </c>
      <c r="AC274" s="5">
        <f t="shared" si="93"/>
        <v>45657</v>
      </c>
      <c r="AD274" s="1">
        <v>64</v>
      </c>
      <c r="AE274" s="1">
        <f t="shared" si="94"/>
        <v>366</v>
      </c>
      <c r="AF274" s="1">
        <f t="shared" si="95"/>
        <v>0</v>
      </c>
      <c r="AG274" s="1">
        <f t="shared" si="96"/>
        <v>0</v>
      </c>
      <c r="AH274" s="1">
        <f t="shared" si="97"/>
        <v>0</v>
      </c>
      <c r="AI274" s="1">
        <f t="shared" si="98"/>
        <v>0</v>
      </c>
      <c r="AJ274" s="3">
        <f t="shared" si="99"/>
        <v>1</v>
      </c>
      <c r="AK274" s="3">
        <f t="shared" si="100"/>
        <v>1.3773584905660379</v>
      </c>
      <c r="AL274" s="3">
        <f t="shared" si="101"/>
        <v>88.150943396226424</v>
      </c>
      <c r="AM274" s="3">
        <f t="shared" si="102"/>
        <v>220.37735849056605</v>
      </c>
      <c r="AN274" s="3">
        <f t="shared" si="103"/>
        <v>110.18867924528303</v>
      </c>
      <c r="AO274" s="3">
        <f t="shared" si="104"/>
        <v>330.56603773584908</v>
      </c>
      <c r="AP274" s="1" t="str">
        <f>INDEX({"EAD";"EAD";"EAD";"EAD MOOC";"EAD";"EAD";"EAD FP";"EAD";"PRESENCIAL";"PRESENCIAL";"PRESENCIAL";"PRESENCIAL"}, MATCH(CONCATENATE(E274, ".", F274),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75" spans="1:42" x14ac:dyDescent="0.25">
      <c r="A275" s="1" t="s">
        <v>27</v>
      </c>
      <c r="B275" s="1" t="s">
        <v>41</v>
      </c>
      <c r="C275" s="1" t="s">
        <v>29</v>
      </c>
      <c r="D275" s="1" t="s">
        <v>42</v>
      </c>
      <c r="E275" s="1" t="s">
        <v>120</v>
      </c>
      <c r="F275" s="1" t="s">
        <v>21</v>
      </c>
      <c r="G275" s="1" t="s">
        <v>128</v>
      </c>
      <c r="H275" s="1" t="s">
        <v>315</v>
      </c>
      <c r="I275" s="1" t="s">
        <v>228</v>
      </c>
      <c r="J275" s="1" t="s">
        <v>108</v>
      </c>
      <c r="K275" s="1" t="s">
        <v>130</v>
      </c>
      <c r="L275" s="1">
        <v>2950331</v>
      </c>
      <c r="M275" s="1" t="s">
        <v>458</v>
      </c>
      <c r="N275" s="5">
        <f t="shared" si="106"/>
        <v>44963</v>
      </c>
      <c r="O275" s="5">
        <f>DATE(2025,12,31)</f>
        <v>46022</v>
      </c>
      <c r="P275" s="5">
        <f t="shared" si="85"/>
        <v>47117</v>
      </c>
      <c r="Q275" s="1">
        <v>3498</v>
      </c>
      <c r="R275" s="1">
        <v>1000</v>
      </c>
      <c r="S275" s="1">
        <f t="shared" si="86"/>
        <v>3100</v>
      </c>
      <c r="T275" s="1">
        <v>2.5</v>
      </c>
      <c r="U275" s="1" t="str">
        <f t="shared" si="87"/>
        <v>SIM</v>
      </c>
      <c r="V275" s="1">
        <f t="shared" si="88"/>
        <v>1060</v>
      </c>
      <c r="W275" s="4">
        <f t="shared" si="89"/>
        <v>2.9245283018867925</v>
      </c>
      <c r="X275" s="4">
        <f t="shared" si="90"/>
        <v>1067.4528301886792</v>
      </c>
      <c r="Y275" s="4">
        <f t="shared" si="91"/>
        <v>1.3343160377358489</v>
      </c>
      <c r="AB275" s="5">
        <f t="shared" si="92"/>
        <v>45292</v>
      </c>
      <c r="AC275" s="5">
        <f t="shared" si="93"/>
        <v>45657</v>
      </c>
      <c r="AD275" s="1">
        <v>54</v>
      </c>
      <c r="AE275" s="1">
        <f t="shared" si="94"/>
        <v>366</v>
      </c>
      <c r="AF275" s="1">
        <f t="shared" si="95"/>
        <v>0</v>
      </c>
      <c r="AG275" s="1">
        <f t="shared" si="96"/>
        <v>0</v>
      </c>
      <c r="AH275" s="1">
        <f t="shared" si="97"/>
        <v>0</v>
      </c>
      <c r="AI275" s="1">
        <f t="shared" si="98"/>
        <v>0</v>
      </c>
      <c r="AJ275" s="3">
        <f t="shared" si="99"/>
        <v>1</v>
      </c>
      <c r="AK275" s="3">
        <f t="shared" si="100"/>
        <v>1.3343160377358489</v>
      </c>
      <c r="AL275" s="3">
        <f t="shared" si="101"/>
        <v>72.053066037735846</v>
      </c>
      <c r="AM275" s="3">
        <f t="shared" si="102"/>
        <v>180.13266509433961</v>
      </c>
      <c r="AN275" s="3">
        <f t="shared" si="103"/>
        <v>90.066332547169807</v>
      </c>
      <c r="AO275" s="3">
        <f t="shared" si="104"/>
        <v>270.19899764150944</v>
      </c>
      <c r="AP275" s="1" t="str">
        <f>INDEX({"EAD";"EAD";"EAD";"EAD MOOC";"EAD";"EAD";"EAD FP";"EAD";"PRESENCIAL";"PRESENCIAL";"PRESENCIAL";"PRESENCIAL"}, MATCH(CONCATENATE(E275, ".", F275),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76" spans="1:42" x14ac:dyDescent="0.25">
      <c r="A276" s="1" t="s">
        <v>27</v>
      </c>
      <c r="B276" s="1" t="s">
        <v>41</v>
      </c>
      <c r="C276" s="1" t="s">
        <v>29</v>
      </c>
      <c r="D276" s="1" t="s">
        <v>42</v>
      </c>
      <c r="E276" s="1" t="s">
        <v>120</v>
      </c>
      <c r="F276" s="1" t="s">
        <v>21</v>
      </c>
      <c r="G276" s="1" t="s">
        <v>128</v>
      </c>
      <c r="H276" s="1" t="s">
        <v>445</v>
      </c>
      <c r="I276" s="1" t="s">
        <v>107</v>
      </c>
      <c r="J276" s="1" t="s">
        <v>108</v>
      </c>
      <c r="K276" s="1" t="s">
        <v>163</v>
      </c>
      <c r="L276" s="1">
        <v>2950336</v>
      </c>
      <c r="M276" s="1" t="s">
        <v>459</v>
      </c>
      <c r="N276" s="5">
        <f t="shared" si="106"/>
        <v>44963</v>
      </c>
      <c r="O276" s="5">
        <f>DATE(2024,7,31)</f>
        <v>45504</v>
      </c>
      <c r="P276" s="5">
        <f t="shared" si="85"/>
        <v>46599</v>
      </c>
      <c r="Q276" s="1">
        <v>1200</v>
      </c>
      <c r="R276" s="1">
        <v>1200</v>
      </c>
      <c r="S276" s="1">
        <f t="shared" si="86"/>
        <v>1200</v>
      </c>
      <c r="T276" s="1">
        <v>2</v>
      </c>
      <c r="U276" s="1" t="str">
        <f t="shared" si="87"/>
        <v>SIM</v>
      </c>
      <c r="V276" s="1">
        <f t="shared" si="88"/>
        <v>542</v>
      </c>
      <c r="W276" s="4">
        <f t="shared" si="89"/>
        <v>2.2140221402214024</v>
      </c>
      <c r="X276" s="4">
        <f t="shared" si="90"/>
        <v>808.11808118081194</v>
      </c>
      <c r="Y276" s="4">
        <f t="shared" si="91"/>
        <v>1.0101476014760149</v>
      </c>
      <c r="AB276" s="5">
        <f t="shared" si="92"/>
        <v>45292</v>
      </c>
      <c r="AC276" s="5">
        <f t="shared" si="93"/>
        <v>45657</v>
      </c>
      <c r="AD276" s="1">
        <v>22</v>
      </c>
      <c r="AE276" s="1">
        <f t="shared" si="94"/>
        <v>0</v>
      </c>
      <c r="AF276" s="1">
        <f t="shared" si="95"/>
        <v>0</v>
      </c>
      <c r="AG276" s="1">
        <f t="shared" si="96"/>
        <v>213</v>
      </c>
      <c r="AH276" s="1">
        <f t="shared" si="97"/>
        <v>0</v>
      </c>
      <c r="AI276" s="1">
        <f t="shared" si="98"/>
        <v>0</v>
      </c>
      <c r="AJ276" s="3">
        <f t="shared" si="99"/>
        <v>0.58196721311475408</v>
      </c>
      <c r="AK276" s="3">
        <f t="shared" si="100"/>
        <v>0.58787278446554958</v>
      </c>
      <c r="AL276" s="3">
        <f t="shared" si="101"/>
        <v>12.933201258242091</v>
      </c>
      <c r="AM276" s="3">
        <f t="shared" si="102"/>
        <v>25.866402516484182</v>
      </c>
      <c r="AN276" s="3">
        <f t="shared" si="103"/>
        <v>12.933201258242091</v>
      </c>
      <c r="AO276" s="3">
        <f t="shared" si="104"/>
        <v>38.799603774726272</v>
      </c>
      <c r="AP276" s="1" t="str">
        <f>INDEX({"EAD";"EAD";"EAD";"EAD MOOC";"EAD";"EAD";"EAD FP";"EAD";"PRESENCIAL";"PRESENCIAL";"PRESENCIAL";"PRESENCIAL"}, MATCH(CONCATENATE(E276, ".", F276),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77" spans="1:42" x14ac:dyDescent="0.25">
      <c r="A277" s="1" t="s">
        <v>27</v>
      </c>
      <c r="B277" s="1" t="s">
        <v>41</v>
      </c>
      <c r="C277" s="1" t="s">
        <v>29</v>
      </c>
      <c r="D277" s="1" t="s">
        <v>42</v>
      </c>
      <c r="E277" s="1" t="s">
        <v>120</v>
      </c>
      <c r="F277" s="1" t="s">
        <v>21</v>
      </c>
      <c r="G277" s="1" t="s">
        <v>278</v>
      </c>
      <c r="H277" s="1" t="s">
        <v>405</v>
      </c>
      <c r="I277" s="1" t="s">
        <v>172</v>
      </c>
      <c r="J277" s="1" t="s">
        <v>125</v>
      </c>
      <c r="K277" s="1" t="s">
        <v>109</v>
      </c>
      <c r="L277" s="1">
        <v>2950355</v>
      </c>
      <c r="M277" s="1" t="s">
        <v>460</v>
      </c>
      <c r="N277" s="5">
        <f t="shared" si="106"/>
        <v>44963</v>
      </c>
      <c r="O277" s="5">
        <f>DATE(2026,12,31)</f>
        <v>46387</v>
      </c>
      <c r="P277" s="5">
        <f t="shared" si="85"/>
        <v>47482</v>
      </c>
      <c r="Q277" s="1">
        <v>3212</v>
      </c>
      <c r="R277" s="1">
        <v>3200</v>
      </c>
      <c r="S277" s="1">
        <f t="shared" si="86"/>
        <v>3200</v>
      </c>
      <c r="T277" s="1">
        <v>2.5</v>
      </c>
      <c r="U277" s="1" t="str">
        <f t="shared" si="87"/>
        <v>SIM</v>
      </c>
      <c r="V277" s="1">
        <f t="shared" si="88"/>
        <v>1425</v>
      </c>
      <c r="W277" s="4">
        <f t="shared" si="89"/>
        <v>2.2456140350877192</v>
      </c>
      <c r="X277" s="4">
        <f t="shared" si="90"/>
        <v>819.64912280701753</v>
      </c>
      <c r="Y277" s="4">
        <f t="shared" si="91"/>
        <v>1.024561403508772</v>
      </c>
      <c r="AB277" s="5">
        <f t="shared" si="92"/>
        <v>45292</v>
      </c>
      <c r="AC277" s="5">
        <f t="shared" si="93"/>
        <v>45657</v>
      </c>
      <c r="AD277" s="1">
        <v>19</v>
      </c>
      <c r="AE277" s="1">
        <f t="shared" si="94"/>
        <v>366</v>
      </c>
      <c r="AF277" s="1">
        <f t="shared" si="95"/>
        <v>0</v>
      </c>
      <c r="AG277" s="1">
        <f t="shared" si="96"/>
        <v>0</v>
      </c>
      <c r="AH277" s="1">
        <f t="shared" si="97"/>
        <v>0</v>
      </c>
      <c r="AI277" s="1">
        <f t="shared" si="98"/>
        <v>0</v>
      </c>
      <c r="AJ277" s="3">
        <f t="shared" si="99"/>
        <v>1</v>
      </c>
      <c r="AK277" s="3">
        <f t="shared" si="100"/>
        <v>1.024561403508772</v>
      </c>
      <c r="AL277" s="3">
        <f t="shared" si="101"/>
        <v>19.466666666666669</v>
      </c>
      <c r="AM277" s="3">
        <f t="shared" si="102"/>
        <v>48.666666666666671</v>
      </c>
      <c r="AN277" s="3">
        <f t="shared" si="103"/>
        <v>0</v>
      </c>
      <c r="AO277" s="3">
        <f t="shared" si="104"/>
        <v>48.666666666666671</v>
      </c>
      <c r="AP277" s="1" t="str">
        <f>INDEX({"EAD";"EAD";"EAD";"EAD MOOC";"EAD";"EAD";"EAD FP";"EAD";"PRESENCIAL";"PRESENCIAL";"PRESENCIAL";"PRESENCIAL"}, MATCH(CONCATENATE(E277, ".", F277),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78" spans="1:42" x14ac:dyDescent="0.25">
      <c r="A278" s="1" t="s">
        <v>27</v>
      </c>
      <c r="B278" s="1" t="s">
        <v>41</v>
      </c>
      <c r="C278" s="1" t="s">
        <v>29</v>
      </c>
      <c r="D278" s="1" t="s">
        <v>42</v>
      </c>
      <c r="E278" s="1" t="s">
        <v>120</v>
      </c>
      <c r="F278" s="1" t="s">
        <v>21</v>
      </c>
      <c r="G278" s="1" t="s">
        <v>278</v>
      </c>
      <c r="H278" s="1" t="s">
        <v>279</v>
      </c>
      <c r="I278" s="1" t="s">
        <v>172</v>
      </c>
      <c r="J278" s="1" t="s">
        <v>125</v>
      </c>
      <c r="K278" s="1" t="s">
        <v>109</v>
      </c>
      <c r="L278" s="1">
        <v>2950359</v>
      </c>
      <c r="M278" s="1" t="s">
        <v>461</v>
      </c>
      <c r="N278" s="5">
        <f t="shared" si="106"/>
        <v>44963</v>
      </c>
      <c r="O278" s="5">
        <f>DATE(2026,12,31)</f>
        <v>46387</v>
      </c>
      <c r="P278" s="5">
        <f t="shared" si="85"/>
        <v>47482</v>
      </c>
      <c r="Q278" s="1">
        <v>3212</v>
      </c>
      <c r="R278" s="1">
        <v>3200</v>
      </c>
      <c r="S278" s="1">
        <f t="shared" si="86"/>
        <v>3200</v>
      </c>
      <c r="T278" s="1">
        <v>2.5</v>
      </c>
      <c r="U278" s="1" t="str">
        <f t="shared" si="87"/>
        <v>SIM</v>
      </c>
      <c r="V278" s="1">
        <f t="shared" si="88"/>
        <v>1425</v>
      </c>
      <c r="W278" s="4">
        <f t="shared" si="89"/>
        <v>2.2456140350877192</v>
      </c>
      <c r="X278" s="4">
        <f t="shared" si="90"/>
        <v>819.64912280701753</v>
      </c>
      <c r="Y278" s="4">
        <f t="shared" si="91"/>
        <v>1.024561403508772</v>
      </c>
      <c r="AB278" s="5">
        <f t="shared" si="92"/>
        <v>45292</v>
      </c>
      <c r="AC278" s="5">
        <f t="shared" si="93"/>
        <v>45657</v>
      </c>
      <c r="AD278" s="1">
        <v>12</v>
      </c>
      <c r="AE278" s="1">
        <f t="shared" si="94"/>
        <v>366</v>
      </c>
      <c r="AF278" s="1">
        <f t="shared" si="95"/>
        <v>0</v>
      </c>
      <c r="AG278" s="1">
        <f t="shared" si="96"/>
        <v>0</v>
      </c>
      <c r="AH278" s="1">
        <f t="shared" si="97"/>
        <v>0</v>
      </c>
      <c r="AI278" s="1">
        <f t="shared" si="98"/>
        <v>0</v>
      </c>
      <c r="AJ278" s="3">
        <f t="shared" si="99"/>
        <v>1</v>
      </c>
      <c r="AK278" s="3">
        <f t="shared" si="100"/>
        <v>1.024561403508772</v>
      </c>
      <c r="AL278" s="3">
        <f t="shared" si="101"/>
        <v>12.294736842105264</v>
      </c>
      <c r="AM278" s="3">
        <f t="shared" si="102"/>
        <v>30.736842105263161</v>
      </c>
      <c r="AN278" s="3">
        <f t="shared" si="103"/>
        <v>0</v>
      </c>
      <c r="AO278" s="3">
        <f t="shared" si="104"/>
        <v>30.736842105263161</v>
      </c>
      <c r="AP278" s="1" t="str">
        <f>INDEX({"EAD";"EAD";"EAD";"EAD MOOC";"EAD";"EAD";"EAD FP";"EAD";"PRESENCIAL";"PRESENCIAL";"PRESENCIAL";"PRESENCIAL"}, MATCH(CONCATENATE(E278, ".", F278),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79" spans="1:42" x14ac:dyDescent="0.25">
      <c r="A279" s="1" t="s">
        <v>27</v>
      </c>
      <c r="B279" s="1" t="s">
        <v>41</v>
      </c>
      <c r="C279" s="1" t="s">
        <v>29</v>
      </c>
      <c r="D279" s="1" t="s">
        <v>42</v>
      </c>
      <c r="E279" s="1" t="s">
        <v>120</v>
      </c>
      <c r="F279" s="1" t="s">
        <v>21</v>
      </c>
      <c r="G279" s="1" t="s">
        <v>278</v>
      </c>
      <c r="H279" s="1" t="s">
        <v>407</v>
      </c>
      <c r="I279" s="1" t="s">
        <v>172</v>
      </c>
      <c r="J279" s="1" t="s">
        <v>125</v>
      </c>
      <c r="K279" s="1" t="s">
        <v>109</v>
      </c>
      <c r="L279" s="1">
        <v>2950363</v>
      </c>
      <c r="M279" s="1" t="s">
        <v>462</v>
      </c>
      <c r="N279" s="5">
        <f t="shared" si="106"/>
        <v>44963</v>
      </c>
      <c r="O279" s="5">
        <f>DATE(2026,12,31)</f>
        <v>46387</v>
      </c>
      <c r="P279" s="5">
        <f t="shared" si="85"/>
        <v>47482</v>
      </c>
      <c r="Q279" s="1">
        <v>3212</v>
      </c>
      <c r="R279" s="1">
        <v>3200</v>
      </c>
      <c r="S279" s="1">
        <f t="shared" si="86"/>
        <v>3200</v>
      </c>
      <c r="T279" s="1">
        <v>2.5</v>
      </c>
      <c r="U279" s="1" t="str">
        <f t="shared" si="87"/>
        <v>SIM</v>
      </c>
      <c r="V279" s="1">
        <f t="shared" si="88"/>
        <v>1425</v>
      </c>
      <c r="W279" s="4">
        <f t="shared" si="89"/>
        <v>2.2456140350877192</v>
      </c>
      <c r="X279" s="4">
        <f t="shared" si="90"/>
        <v>819.64912280701753</v>
      </c>
      <c r="Y279" s="4">
        <f t="shared" si="91"/>
        <v>1.024561403508772</v>
      </c>
      <c r="AB279" s="5">
        <f t="shared" si="92"/>
        <v>45292</v>
      </c>
      <c r="AC279" s="5">
        <f t="shared" si="93"/>
        <v>45657</v>
      </c>
      <c r="AD279" s="1">
        <v>11</v>
      </c>
      <c r="AE279" s="1">
        <f t="shared" si="94"/>
        <v>366</v>
      </c>
      <c r="AF279" s="1">
        <f t="shared" si="95"/>
        <v>0</v>
      </c>
      <c r="AG279" s="1">
        <f t="shared" si="96"/>
        <v>0</v>
      </c>
      <c r="AH279" s="1">
        <f t="shared" si="97"/>
        <v>0</v>
      </c>
      <c r="AI279" s="1">
        <f t="shared" si="98"/>
        <v>0</v>
      </c>
      <c r="AJ279" s="3">
        <f t="shared" si="99"/>
        <v>1</v>
      </c>
      <c r="AK279" s="3">
        <f t="shared" si="100"/>
        <v>1.024561403508772</v>
      </c>
      <c r="AL279" s="3">
        <f t="shared" si="101"/>
        <v>11.270175438596493</v>
      </c>
      <c r="AM279" s="3">
        <f t="shared" si="102"/>
        <v>28.175438596491233</v>
      </c>
      <c r="AN279" s="3">
        <f t="shared" si="103"/>
        <v>0</v>
      </c>
      <c r="AO279" s="3">
        <f t="shared" si="104"/>
        <v>28.175438596491233</v>
      </c>
      <c r="AP279" s="1" t="str">
        <f>INDEX({"EAD";"EAD";"EAD";"EAD MOOC";"EAD";"EAD";"EAD FP";"EAD";"PRESENCIAL";"PRESENCIAL";"PRESENCIAL";"PRESENCIAL"}, MATCH(CONCATENATE(E279, ".", F279),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80" spans="1:42" x14ac:dyDescent="0.25">
      <c r="A280" s="1" t="s">
        <v>27</v>
      </c>
      <c r="B280" s="1" t="s">
        <v>41</v>
      </c>
      <c r="C280" s="1" t="s">
        <v>29</v>
      </c>
      <c r="D280" s="1" t="s">
        <v>42</v>
      </c>
      <c r="E280" s="1" t="s">
        <v>120</v>
      </c>
      <c r="F280" s="1" t="s">
        <v>21</v>
      </c>
      <c r="G280" s="1" t="s">
        <v>121</v>
      </c>
      <c r="H280" s="1" t="s">
        <v>322</v>
      </c>
      <c r="I280" s="1" t="s">
        <v>107</v>
      </c>
      <c r="J280" s="1" t="s">
        <v>108</v>
      </c>
      <c r="K280" s="1" t="s">
        <v>109</v>
      </c>
      <c r="L280" s="1">
        <v>2950380</v>
      </c>
      <c r="M280" s="1" t="s">
        <v>463</v>
      </c>
      <c r="N280" s="5">
        <f t="shared" si="106"/>
        <v>44963</v>
      </c>
      <c r="O280" s="5">
        <f>DATE(2026,12,31)</f>
        <v>46387</v>
      </c>
      <c r="P280" s="5">
        <f t="shared" si="85"/>
        <v>47482</v>
      </c>
      <c r="Q280" s="1">
        <v>4840</v>
      </c>
      <c r="R280" s="1">
        <v>3600</v>
      </c>
      <c r="S280" s="1">
        <f t="shared" si="86"/>
        <v>3600</v>
      </c>
      <c r="T280" s="1">
        <v>2.5</v>
      </c>
      <c r="U280" s="1" t="str">
        <f t="shared" si="87"/>
        <v>SIM</v>
      </c>
      <c r="V280" s="1">
        <f t="shared" si="88"/>
        <v>1425</v>
      </c>
      <c r="W280" s="4">
        <f t="shared" si="89"/>
        <v>2.5263157894736841</v>
      </c>
      <c r="X280" s="4">
        <f t="shared" si="90"/>
        <v>922.10526315789468</v>
      </c>
      <c r="Y280" s="4">
        <f t="shared" si="91"/>
        <v>1.1526315789473685</v>
      </c>
      <c r="AB280" s="5">
        <f t="shared" si="92"/>
        <v>45292</v>
      </c>
      <c r="AC280" s="5">
        <f t="shared" si="93"/>
        <v>45657</v>
      </c>
      <c r="AD280" s="1">
        <v>38</v>
      </c>
      <c r="AE280" s="1">
        <f t="shared" si="94"/>
        <v>366</v>
      </c>
      <c r="AF280" s="1">
        <f t="shared" si="95"/>
        <v>0</v>
      </c>
      <c r="AG280" s="1">
        <f t="shared" si="96"/>
        <v>0</v>
      </c>
      <c r="AH280" s="1">
        <f t="shared" si="97"/>
        <v>0</v>
      </c>
      <c r="AI280" s="1">
        <f t="shared" si="98"/>
        <v>0</v>
      </c>
      <c r="AJ280" s="3">
        <f t="shared" si="99"/>
        <v>1</v>
      </c>
      <c r="AK280" s="3">
        <f t="shared" si="100"/>
        <v>1.1526315789473685</v>
      </c>
      <c r="AL280" s="3">
        <f t="shared" si="101"/>
        <v>43.800000000000004</v>
      </c>
      <c r="AM280" s="3">
        <f t="shared" si="102"/>
        <v>109.50000000000001</v>
      </c>
      <c r="AN280" s="3">
        <f t="shared" si="103"/>
        <v>54.750000000000007</v>
      </c>
      <c r="AO280" s="3">
        <f t="shared" si="104"/>
        <v>164.25000000000003</v>
      </c>
      <c r="AP280" s="1" t="str">
        <f>INDEX({"EAD";"EAD";"EAD";"EAD MOOC";"EAD";"EAD";"EAD FP";"EAD";"PRESENCIAL";"PRESENCIAL";"PRESENCIAL";"PRESENCIAL"}, MATCH(CONCATENATE(E280, ".", F280),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81" spans="1:42" x14ac:dyDescent="0.25">
      <c r="A281" s="1" t="s">
        <v>27</v>
      </c>
      <c r="B281" s="1" t="s">
        <v>41</v>
      </c>
      <c r="C281" s="1" t="s">
        <v>29</v>
      </c>
      <c r="D281" s="1" t="s">
        <v>42</v>
      </c>
      <c r="E281" s="1" t="s">
        <v>120</v>
      </c>
      <c r="F281" s="1" t="s">
        <v>21</v>
      </c>
      <c r="G281" s="1" t="s">
        <v>178</v>
      </c>
      <c r="H281" s="1" t="s">
        <v>455</v>
      </c>
      <c r="I281" s="1" t="s">
        <v>107</v>
      </c>
      <c r="J281" s="1" t="s">
        <v>125</v>
      </c>
      <c r="K281" s="1" t="s">
        <v>109</v>
      </c>
      <c r="L281" s="1">
        <v>2950426</v>
      </c>
      <c r="M281" s="1" t="s">
        <v>464</v>
      </c>
      <c r="N281" s="5">
        <f t="shared" si="106"/>
        <v>44963</v>
      </c>
      <c r="O281" s="5">
        <f>DATE(2024,7,31)</f>
        <v>45504</v>
      </c>
      <c r="P281" s="5">
        <f t="shared" si="85"/>
        <v>46599</v>
      </c>
      <c r="Q281" s="1">
        <v>420</v>
      </c>
      <c r="R281" s="1">
        <v>360</v>
      </c>
      <c r="S281" s="1">
        <f t="shared" si="86"/>
        <v>360</v>
      </c>
      <c r="T281" s="1">
        <v>2.5</v>
      </c>
      <c r="U281" s="1" t="str">
        <f t="shared" si="87"/>
        <v>SIM</v>
      </c>
      <c r="V281" s="1">
        <f t="shared" si="88"/>
        <v>542</v>
      </c>
      <c r="W281" s="4">
        <f t="shared" si="89"/>
        <v>0.66420664206642066</v>
      </c>
      <c r="X281" s="4">
        <f t="shared" si="90"/>
        <v>242.43542435424354</v>
      </c>
      <c r="Y281" s="4">
        <f t="shared" si="91"/>
        <v>0.3030442804428044</v>
      </c>
      <c r="AB281" s="5">
        <f t="shared" si="92"/>
        <v>45292</v>
      </c>
      <c r="AC281" s="5">
        <f t="shared" si="93"/>
        <v>45657</v>
      </c>
      <c r="AD281" s="1">
        <v>17</v>
      </c>
      <c r="AE281" s="1">
        <f t="shared" si="94"/>
        <v>0</v>
      </c>
      <c r="AF281" s="1">
        <f t="shared" si="95"/>
        <v>0</v>
      </c>
      <c r="AG281" s="1">
        <f t="shared" si="96"/>
        <v>213</v>
      </c>
      <c r="AH281" s="1">
        <f t="shared" si="97"/>
        <v>0</v>
      </c>
      <c r="AI281" s="1">
        <f t="shared" si="98"/>
        <v>0</v>
      </c>
      <c r="AJ281" s="3">
        <f t="shared" si="99"/>
        <v>0.58196721311475408</v>
      </c>
      <c r="AK281" s="3">
        <f t="shared" si="100"/>
        <v>0.17636183533966485</v>
      </c>
      <c r="AL281" s="3">
        <f t="shared" si="101"/>
        <v>2.9981512007743025</v>
      </c>
      <c r="AM281" s="3">
        <f t="shared" si="102"/>
        <v>7.4953780019357561</v>
      </c>
      <c r="AN281" s="3">
        <f t="shared" si="103"/>
        <v>0</v>
      </c>
      <c r="AO281" s="3">
        <f t="shared" si="104"/>
        <v>7.4953780019357561</v>
      </c>
      <c r="AP281" s="1" t="str">
        <f>INDEX({"EAD";"EAD";"EAD";"EAD MOOC";"EAD";"EAD";"EAD FP";"EAD";"PRESENCIAL";"PRESENCIAL";"PRESENCIAL";"PRESENCIAL"}, MATCH(CONCATENATE(E281, ".", F281),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82" spans="1:42" x14ac:dyDescent="0.25">
      <c r="A282" s="1" t="s">
        <v>27</v>
      </c>
      <c r="B282" s="1" t="s">
        <v>41</v>
      </c>
      <c r="C282" s="1" t="s">
        <v>29</v>
      </c>
      <c r="D282" s="1" t="s">
        <v>42</v>
      </c>
      <c r="E282" s="1" t="s">
        <v>120</v>
      </c>
      <c r="F282" s="1" t="s">
        <v>21</v>
      </c>
      <c r="G282" s="1" t="s">
        <v>278</v>
      </c>
      <c r="H282" s="1" t="s">
        <v>320</v>
      </c>
      <c r="I282" s="1" t="s">
        <v>172</v>
      </c>
      <c r="J282" s="1" t="s">
        <v>125</v>
      </c>
      <c r="K282" s="1" t="s">
        <v>109</v>
      </c>
      <c r="L282" s="1">
        <v>2950457</v>
      </c>
      <c r="M282" s="1" t="s">
        <v>465</v>
      </c>
      <c r="N282" s="5">
        <f t="shared" si="106"/>
        <v>44963</v>
      </c>
      <c r="O282" s="5">
        <f>DATE(2026,12,31)</f>
        <v>46387</v>
      </c>
      <c r="P282" s="5">
        <f t="shared" si="85"/>
        <v>47482</v>
      </c>
      <c r="Q282" s="1">
        <v>3350</v>
      </c>
      <c r="R282" s="1">
        <v>3200</v>
      </c>
      <c r="S282" s="1">
        <f t="shared" si="86"/>
        <v>3200</v>
      </c>
      <c r="T282" s="1">
        <v>2.5</v>
      </c>
      <c r="U282" s="1" t="str">
        <f t="shared" si="87"/>
        <v>SIM</v>
      </c>
      <c r="V282" s="1">
        <f t="shared" si="88"/>
        <v>1425</v>
      </c>
      <c r="W282" s="4">
        <f t="shared" si="89"/>
        <v>2.2456140350877192</v>
      </c>
      <c r="X282" s="4">
        <f t="shared" si="90"/>
        <v>819.64912280701753</v>
      </c>
      <c r="Y282" s="4">
        <f t="shared" si="91"/>
        <v>1.024561403508772</v>
      </c>
      <c r="AB282" s="5">
        <f t="shared" si="92"/>
        <v>45292</v>
      </c>
      <c r="AC282" s="5">
        <f t="shared" si="93"/>
        <v>45657</v>
      </c>
      <c r="AD282" s="1">
        <v>32</v>
      </c>
      <c r="AE282" s="1">
        <f t="shared" si="94"/>
        <v>366</v>
      </c>
      <c r="AF282" s="1">
        <f t="shared" si="95"/>
        <v>0</v>
      </c>
      <c r="AG282" s="1">
        <f t="shared" si="96"/>
        <v>0</v>
      </c>
      <c r="AH282" s="1">
        <f t="shared" si="97"/>
        <v>0</v>
      </c>
      <c r="AI282" s="1">
        <f t="shared" si="98"/>
        <v>0</v>
      </c>
      <c r="AJ282" s="3">
        <f t="shared" si="99"/>
        <v>1</v>
      </c>
      <c r="AK282" s="3">
        <f t="shared" si="100"/>
        <v>1.024561403508772</v>
      </c>
      <c r="AL282" s="3">
        <f t="shared" si="101"/>
        <v>32.785964912280704</v>
      </c>
      <c r="AM282" s="3">
        <f t="shared" si="102"/>
        <v>81.964912280701753</v>
      </c>
      <c r="AN282" s="3">
        <f t="shared" si="103"/>
        <v>0</v>
      </c>
      <c r="AO282" s="3">
        <f t="shared" si="104"/>
        <v>81.964912280701753</v>
      </c>
      <c r="AP282" s="1" t="str">
        <f>INDEX({"EAD";"EAD";"EAD";"EAD MOOC";"EAD";"EAD";"EAD FP";"EAD";"PRESENCIAL";"PRESENCIAL";"PRESENCIAL";"PRESENCIAL"}, MATCH(CONCATENATE(E282, ".", F282),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83" spans="1:42" x14ac:dyDescent="0.25">
      <c r="A283" s="1" t="s">
        <v>27</v>
      </c>
      <c r="B283" s="1" t="s">
        <v>41</v>
      </c>
      <c r="C283" s="1" t="s">
        <v>29</v>
      </c>
      <c r="D283" s="1" t="s">
        <v>42</v>
      </c>
      <c r="E283" s="1" t="s">
        <v>120</v>
      </c>
      <c r="F283" s="1" t="s">
        <v>21</v>
      </c>
      <c r="G283" s="1" t="s">
        <v>128</v>
      </c>
      <c r="H283" s="1" t="s">
        <v>129</v>
      </c>
      <c r="I283" s="1" t="s">
        <v>124</v>
      </c>
      <c r="J283" s="1" t="s">
        <v>125</v>
      </c>
      <c r="K283" s="1" t="s">
        <v>316</v>
      </c>
      <c r="L283" s="1">
        <v>2950504</v>
      </c>
      <c r="M283" s="1" t="s">
        <v>466</v>
      </c>
      <c r="N283" s="5">
        <f t="shared" si="106"/>
        <v>44963</v>
      </c>
      <c r="O283" s="5">
        <f>DATE(2025,7,31)</f>
        <v>45869</v>
      </c>
      <c r="P283" s="5">
        <f t="shared" si="85"/>
        <v>46964</v>
      </c>
      <c r="Q283" s="1">
        <v>2240</v>
      </c>
      <c r="R283" s="1">
        <v>800</v>
      </c>
      <c r="S283" s="1">
        <f t="shared" si="86"/>
        <v>2400</v>
      </c>
      <c r="T283" s="1">
        <v>2.5</v>
      </c>
      <c r="U283" s="1" t="str">
        <f t="shared" si="87"/>
        <v>SIM</v>
      </c>
      <c r="V283" s="1">
        <f t="shared" si="88"/>
        <v>907</v>
      </c>
      <c r="W283" s="4">
        <f t="shared" si="89"/>
        <v>2.4696802646085998</v>
      </c>
      <c r="X283" s="4">
        <f t="shared" si="90"/>
        <v>901.43329658213895</v>
      </c>
      <c r="Y283" s="4">
        <f t="shared" si="91"/>
        <v>1.1267916207276736</v>
      </c>
      <c r="AB283" s="5">
        <f t="shared" si="92"/>
        <v>45292</v>
      </c>
      <c r="AC283" s="5">
        <f t="shared" si="93"/>
        <v>45657</v>
      </c>
      <c r="AD283" s="1">
        <v>4</v>
      </c>
      <c r="AE283" s="1">
        <f t="shared" si="94"/>
        <v>366</v>
      </c>
      <c r="AF283" s="1">
        <f t="shared" si="95"/>
        <v>0</v>
      </c>
      <c r="AG283" s="1">
        <f t="shared" si="96"/>
        <v>0</v>
      </c>
      <c r="AH283" s="1">
        <f t="shared" si="97"/>
        <v>0</v>
      </c>
      <c r="AI283" s="1">
        <f t="shared" si="98"/>
        <v>0</v>
      </c>
      <c r="AJ283" s="3">
        <f t="shared" si="99"/>
        <v>1</v>
      </c>
      <c r="AK283" s="3">
        <f t="shared" si="100"/>
        <v>1.1267916207276736</v>
      </c>
      <c r="AL283" s="3">
        <f t="shared" si="101"/>
        <v>4.5071664829106943</v>
      </c>
      <c r="AM283" s="3">
        <f t="shared" si="102"/>
        <v>11.267916207276736</v>
      </c>
      <c r="AN283" s="3">
        <f t="shared" si="103"/>
        <v>0</v>
      </c>
      <c r="AO283" s="3">
        <f t="shared" si="104"/>
        <v>11.267916207276736</v>
      </c>
      <c r="AP283" s="1" t="str">
        <f>INDEX({"EAD";"EAD";"EAD";"EAD MOOC";"EAD";"EAD";"EAD FP";"EAD";"PRESENCIAL";"PRESENCIAL";"PRESENCIAL";"PRESENCIAL"}, MATCH(CONCATENATE(E283, ".", F283),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84" spans="1:42" x14ac:dyDescent="0.25">
      <c r="A284" s="1" t="s">
        <v>27</v>
      </c>
      <c r="B284" s="1" t="s">
        <v>41</v>
      </c>
      <c r="C284" s="1" t="s">
        <v>29</v>
      </c>
      <c r="D284" s="1" t="s">
        <v>42</v>
      </c>
      <c r="E284" s="1" t="s">
        <v>170</v>
      </c>
      <c r="F284" s="1" t="s">
        <v>21</v>
      </c>
      <c r="G284" s="1" t="s">
        <v>128</v>
      </c>
      <c r="H284" s="1" t="s">
        <v>174</v>
      </c>
      <c r="I284" s="1" t="s">
        <v>172</v>
      </c>
      <c r="J284" s="1" t="s">
        <v>125</v>
      </c>
      <c r="K284" s="1" t="s">
        <v>163</v>
      </c>
      <c r="L284" s="1">
        <v>2966712</v>
      </c>
      <c r="M284" s="1" t="s">
        <v>467</v>
      </c>
      <c r="N284" s="5">
        <f>DATE(2023,4,3)</f>
        <v>45019</v>
      </c>
      <c r="O284" s="5">
        <f>DATE(2024,9,3)</f>
        <v>45538</v>
      </c>
      <c r="P284" s="5">
        <f t="shared" si="85"/>
        <v>46633</v>
      </c>
      <c r="Q284" s="1">
        <v>1200</v>
      </c>
      <c r="R284" s="1">
        <v>1200</v>
      </c>
      <c r="S284" s="1">
        <f t="shared" si="86"/>
        <v>1200</v>
      </c>
      <c r="T284" s="1">
        <v>1</v>
      </c>
      <c r="U284" s="1" t="str">
        <f t="shared" si="87"/>
        <v>SIM</v>
      </c>
      <c r="V284" s="1">
        <f t="shared" si="88"/>
        <v>520</v>
      </c>
      <c r="W284" s="4">
        <f t="shared" si="89"/>
        <v>2.3076923076923075</v>
      </c>
      <c r="X284" s="4">
        <f t="shared" si="90"/>
        <v>842.30769230769226</v>
      </c>
      <c r="Y284" s="4">
        <f t="shared" si="91"/>
        <v>1.0528846153846154</v>
      </c>
      <c r="AB284" s="5">
        <f t="shared" si="92"/>
        <v>45292</v>
      </c>
      <c r="AC284" s="5">
        <f t="shared" si="93"/>
        <v>45657</v>
      </c>
      <c r="AD284" s="1">
        <v>11</v>
      </c>
      <c r="AE284" s="1">
        <f t="shared" si="94"/>
        <v>0</v>
      </c>
      <c r="AF284" s="1">
        <f t="shared" si="95"/>
        <v>0</v>
      </c>
      <c r="AG284" s="1">
        <f t="shared" si="96"/>
        <v>247</v>
      </c>
      <c r="AH284" s="1">
        <f t="shared" si="97"/>
        <v>0</v>
      </c>
      <c r="AI284" s="1">
        <f t="shared" si="98"/>
        <v>0</v>
      </c>
      <c r="AJ284" s="3">
        <f t="shared" si="99"/>
        <v>0.67486338797814205</v>
      </c>
      <c r="AK284" s="3">
        <f t="shared" si="100"/>
        <v>0.71055327868852458</v>
      </c>
      <c r="AL284" s="3">
        <f t="shared" si="101"/>
        <v>7.8160860655737707</v>
      </c>
      <c r="AM284" s="3">
        <f t="shared" si="102"/>
        <v>7.8160860655737707</v>
      </c>
      <c r="AN284" s="3">
        <f t="shared" si="103"/>
        <v>0</v>
      </c>
      <c r="AO284" s="3">
        <f t="shared" si="104"/>
        <v>7.8160860655737707</v>
      </c>
      <c r="AP284" s="1" t="str">
        <f>INDEX({"EAD";"EAD";"EAD";"EAD MOOC";"EAD";"EAD";"EAD FP";"EAD";"PRESENCIAL";"PRESENCIAL";"PRESENCIAL";"PRESENCIAL"}, MATCH(CONCATENATE(E284, ".", F284),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285" spans="1:42" x14ac:dyDescent="0.25">
      <c r="A285" s="1" t="s">
        <v>27</v>
      </c>
      <c r="B285" s="1" t="s">
        <v>41</v>
      </c>
      <c r="C285" s="1" t="s">
        <v>29</v>
      </c>
      <c r="D285" s="1" t="s">
        <v>42</v>
      </c>
      <c r="E285" s="1" t="s">
        <v>170</v>
      </c>
      <c r="F285" s="1" t="s">
        <v>21</v>
      </c>
      <c r="G285" s="1" t="s">
        <v>128</v>
      </c>
      <c r="H285" s="1" t="s">
        <v>171</v>
      </c>
      <c r="I285" s="1" t="s">
        <v>172</v>
      </c>
      <c r="J285" s="1" t="s">
        <v>125</v>
      </c>
      <c r="K285" s="1" t="s">
        <v>163</v>
      </c>
      <c r="L285" s="1">
        <v>2966713</v>
      </c>
      <c r="M285" s="1" t="s">
        <v>468</v>
      </c>
      <c r="N285" s="5">
        <f>DATE(2023,4,3)</f>
        <v>45019</v>
      </c>
      <c r="O285" s="5">
        <f>DATE(2024,9,3)</f>
        <v>45538</v>
      </c>
      <c r="P285" s="5">
        <f t="shared" si="85"/>
        <v>46633</v>
      </c>
      <c r="Q285" s="1">
        <v>1200</v>
      </c>
      <c r="R285" s="1">
        <v>1200</v>
      </c>
      <c r="S285" s="1">
        <f t="shared" si="86"/>
        <v>1200</v>
      </c>
      <c r="T285" s="1">
        <v>2</v>
      </c>
      <c r="U285" s="1" t="str">
        <f t="shared" si="87"/>
        <v>SIM</v>
      </c>
      <c r="V285" s="1">
        <f t="shared" si="88"/>
        <v>520</v>
      </c>
      <c r="W285" s="4">
        <f t="shared" si="89"/>
        <v>2.3076923076923075</v>
      </c>
      <c r="X285" s="4">
        <f t="shared" si="90"/>
        <v>842.30769230769226</v>
      </c>
      <c r="Y285" s="4">
        <f t="shared" si="91"/>
        <v>1.0528846153846154</v>
      </c>
      <c r="AB285" s="5">
        <f t="shared" si="92"/>
        <v>45292</v>
      </c>
      <c r="AC285" s="5">
        <f t="shared" si="93"/>
        <v>45657</v>
      </c>
      <c r="AD285" s="1">
        <v>17</v>
      </c>
      <c r="AE285" s="1">
        <f t="shared" si="94"/>
        <v>0</v>
      </c>
      <c r="AF285" s="1">
        <f t="shared" si="95"/>
        <v>0</v>
      </c>
      <c r="AG285" s="1">
        <f t="shared" si="96"/>
        <v>247</v>
      </c>
      <c r="AH285" s="1">
        <f t="shared" si="97"/>
        <v>0</v>
      </c>
      <c r="AI285" s="1">
        <f t="shared" si="98"/>
        <v>0</v>
      </c>
      <c r="AJ285" s="3">
        <f t="shared" si="99"/>
        <v>0.67486338797814205</v>
      </c>
      <c r="AK285" s="3">
        <f t="shared" si="100"/>
        <v>0.71055327868852458</v>
      </c>
      <c r="AL285" s="3">
        <f t="shared" si="101"/>
        <v>12.079405737704917</v>
      </c>
      <c r="AM285" s="3">
        <f t="shared" si="102"/>
        <v>24.158811475409834</v>
      </c>
      <c r="AN285" s="3">
        <f t="shared" si="103"/>
        <v>0</v>
      </c>
      <c r="AO285" s="3">
        <f t="shared" si="104"/>
        <v>24.158811475409834</v>
      </c>
      <c r="AP285" s="1" t="str">
        <f>INDEX({"EAD";"EAD";"EAD";"EAD MOOC";"EAD";"EAD";"EAD FP";"EAD";"PRESENCIAL";"PRESENCIAL";"PRESENCIAL";"PRESENCIAL"}, MATCH(CONCATENATE(E285, ".", F285),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286" spans="1:42" x14ac:dyDescent="0.25">
      <c r="A286" s="1" t="s">
        <v>27</v>
      </c>
      <c r="B286" s="1" t="s">
        <v>41</v>
      </c>
      <c r="C286" s="1" t="s">
        <v>29</v>
      </c>
      <c r="D286" s="1" t="s">
        <v>42</v>
      </c>
      <c r="E286" s="1" t="s">
        <v>170</v>
      </c>
      <c r="F286" s="1" t="s">
        <v>21</v>
      </c>
      <c r="G286" s="1" t="s">
        <v>128</v>
      </c>
      <c r="H286" s="1" t="s">
        <v>176</v>
      </c>
      <c r="I286" s="1" t="s">
        <v>172</v>
      </c>
      <c r="J286" s="1" t="s">
        <v>125</v>
      </c>
      <c r="K286" s="1" t="s">
        <v>163</v>
      </c>
      <c r="L286" s="1">
        <v>2970234</v>
      </c>
      <c r="M286" s="1" t="s">
        <v>469</v>
      </c>
      <c r="N286" s="5">
        <f>DATE(2023,4,3)</f>
        <v>45019</v>
      </c>
      <c r="O286" s="5">
        <f>DATE(2024,9,3)</f>
        <v>45538</v>
      </c>
      <c r="P286" s="5">
        <f t="shared" si="85"/>
        <v>46633</v>
      </c>
      <c r="Q286" s="1">
        <v>1200</v>
      </c>
      <c r="R286" s="1">
        <v>800</v>
      </c>
      <c r="S286" s="1">
        <f t="shared" si="86"/>
        <v>800</v>
      </c>
      <c r="T286" s="1">
        <v>1.5</v>
      </c>
      <c r="U286" s="1" t="str">
        <f t="shared" si="87"/>
        <v>SIM</v>
      </c>
      <c r="V286" s="1">
        <f t="shared" si="88"/>
        <v>520</v>
      </c>
      <c r="W286" s="4">
        <f t="shared" si="89"/>
        <v>1.5384615384615385</v>
      </c>
      <c r="X286" s="4">
        <f t="shared" si="90"/>
        <v>561.53846153846155</v>
      </c>
      <c r="Y286" s="4">
        <f t="shared" si="91"/>
        <v>0.70192307692307698</v>
      </c>
      <c r="AB286" s="5">
        <f t="shared" si="92"/>
        <v>45292</v>
      </c>
      <c r="AC286" s="5">
        <f t="shared" si="93"/>
        <v>45657</v>
      </c>
      <c r="AD286" s="1">
        <v>12</v>
      </c>
      <c r="AE286" s="1">
        <f t="shared" si="94"/>
        <v>0</v>
      </c>
      <c r="AF286" s="1">
        <f t="shared" si="95"/>
        <v>0</v>
      </c>
      <c r="AG286" s="1">
        <f t="shared" si="96"/>
        <v>247</v>
      </c>
      <c r="AH286" s="1">
        <f t="shared" si="97"/>
        <v>0</v>
      </c>
      <c r="AI286" s="1">
        <f t="shared" si="98"/>
        <v>0</v>
      </c>
      <c r="AJ286" s="3">
        <f t="shared" si="99"/>
        <v>0.67486338797814205</v>
      </c>
      <c r="AK286" s="3">
        <f t="shared" si="100"/>
        <v>0.47370218579234974</v>
      </c>
      <c r="AL286" s="3">
        <f t="shared" si="101"/>
        <v>5.6844262295081966</v>
      </c>
      <c r="AM286" s="3">
        <f t="shared" si="102"/>
        <v>8.5266393442622945</v>
      </c>
      <c r="AN286" s="3">
        <f t="shared" si="103"/>
        <v>0</v>
      </c>
      <c r="AO286" s="3">
        <f t="shared" si="104"/>
        <v>8.5266393442622945</v>
      </c>
      <c r="AP286" s="1" t="str">
        <f>INDEX({"EAD";"EAD";"EAD";"EAD MOOC";"EAD";"EAD";"EAD FP";"EAD";"PRESENCIAL";"PRESENCIAL";"PRESENCIAL";"PRESENCIAL"}, MATCH(CONCATENATE(E286, ".", F286),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287" spans="1:42" x14ac:dyDescent="0.25">
      <c r="A287" s="1" t="s">
        <v>27</v>
      </c>
      <c r="B287" s="1" t="s">
        <v>41</v>
      </c>
      <c r="C287" s="1" t="s">
        <v>29</v>
      </c>
      <c r="D287" s="1" t="s">
        <v>42</v>
      </c>
      <c r="E287" s="1" t="s">
        <v>120</v>
      </c>
      <c r="F287" s="1" t="s">
        <v>21</v>
      </c>
      <c r="G287" s="1" t="s">
        <v>128</v>
      </c>
      <c r="H287" s="1" t="s">
        <v>470</v>
      </c>
      <c r="I287" s="1" t="s">
        <v>107</v>
      </c>
      <c r="J287" s="1" t="s">
        <v>108</v>
      </c>
      <c r="K287" s="1" t="s">
        <v>259</v>
      </c>
      <c r="L287" s="1">
        <v>3071242</v>
      </c>
      <c r="M287" s="1" t="s">
        <v>471</v>
      </c>
      <c r="N287" s="5">
        <f>DATE(2023,8,2)</f>
        <v>45140</v>
      </c>
      <c r="O287" s="5">
        <f>DATE(2025,12,31)</f>
        <v>46022</v>
      </c>
      <c r="P287" s="5">
        <f t="shared" si="85"/>
        <v>47117</v>
      </c>
      <c r="Q287" s="1">
        <v>3000</v>
      </c>
      <c r="R287" s="1">
        <v>1200</v>
      </c>
      <c r="S287" s="1">
        <f t="shared" si="86"/>
        <v>1200</v>
      </c>
      <c r="T287" s="1">
        <v>2.5</v>
      </c>
      <c r="U287" s="1" t="str">
        <f t="shared" si="87"/>
        <v>SIM</v>
      </c>
      <c r="V287" s="1">
        <f t="shared" si="88"/>
        <v>883</v>
      </c>
      <c r="W287" s="4">
        <f t="shared" si="89"/>
        <v>1.3590033975084939</v>
      </c>
      <c r="X287" s="4">
        <f t="shared" si="90"/>
        <v>496.03624009060024</v>
      </c>
      <c r="Y287" s="4">
        <f t="shared" si="91"/>
        <v>0.62004530011325032</v>
      </c>
      <c r="AB287" s="5">
        <f t="shared" si="92"/>
        <v>45292</v>
      </c>
      <c r="AC287" s="5">
        <f t="shared" si="93"/>
        <v>45657</v>
      </c>
      <c r="AD287" s="1">
        <v>35</v>
      </c>
      <c r="AE287" s="1">
        <f t="shared" si="94"/>
        <v>366</v>
      </c>
      <c r="AF287" s="1">
        <f t="shared" si="95"/>
        <v>0</v>
      </c>
      <c r="AG287" s="1">
        <f t="shared" si="96"/>
        <v>0</v>
      </c>
      <c r="AH287" s="1">
        <f t="shared" si="97"/>
        <v>0</v>
      </c>
      <c r="AI287" s="1">
        <f t="shared" si="98"/>
        <v>0</v>
      </c>
      <c r="AJ287" s="3">
        <f t="shared" si="99"/>
        <v>1</v>
      </c>
      <c r="AK287" s="3">
        <f t="shared" si="100"/>
        <v>0.62004530011325032</v>
      </c>
      <c r="AL287" s="3">
        <f t="shared" si="101"/>
        <v>21.701585503963763</v>
      </c>
      <c r="AM287" s="3">
        <f t="shared" si="102"/>
        <v>54.253963759909411</v>
      </c>
      <c r="AN287" s="3">
        <f t="shared" si="103"/>
        <v>27.126981879954705</v>
      </c>
      <c r="AO287" s="3">
        <f t="shared" si="104"/>
        <v>81.380945639864109</v>
      </c>
      <c r="AP287" s="1" t="str">
        <f>INDEX({"EAD";"EAD";"EAD";"EAD MOOC";"EAD";"EAD";"EAD FP";"EAD";"PRESENCIAL";"PRESENCIAL";"PRESENCIAL";"PRESENCIAL"}, MATCH(CONCATENATE(E287, ".", F287),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88" spans="1:42" x14ac:dyDescent="0.25">
      <c r="A288" s="1" t="s">
        <v>27</v>
      </c>
      <c r="B288" s="1" t="s">
        <v>41</v>
      </c>
      <c r="C288" s="1" t="s">
        <v>29</v>
      </c>
      <c r="D288" s="1" t="s">
        <v>42</v>
      </c>
      <c r="E288" s="1" t="s">
        <v>120</v>
      </c>
      <c r="F288" s="1" t="s">
        <v>21</v>
      </c>
      <c r="G288" s="1" t="s">
        <v>128</v>
      </c>
      <c r="H288" s="1" t="s">
        <v>132</v>
      </c>
      <c r="I288" s="1" t="s">
        <v>107</v>
      </c>
      <c r="J288" s="1" t="s">
        <v>108</v>
      </c>
      <c r="K288" s="1" t="s">
        <v>130</v>
      </c>
      <c r="L288" s="1">
        <v>3081847</v>
      </c>
      <c r="M288" s="1" t="s">
        <v>472</v>
      </c>
      <c r="N288" s="5">
        <f t="shared" ref="N288:N298" si="107">DATE(2024,2,5)</f>
        <v>45327</v>
      </c>
      <c r="O288" s="5">
        <f>DATE(2026,12,31)</f>
        <v>46387</v>
      </c>
      <c r="P288" s="5">
        <f t="shared" si="85"/>
        <v>47482</v>
      </c>
      <c r="Q288" s="1">
        <v>3614</v>
      </c>
      <c r="R288" s="1">
        <v>1200</v>
      </c>
      <c r="S288" s="1">
        <f t="shared" si="86"/>
        <v>3200</v>
      </c>
      <c r="T288" s="1">
        <v>2.5</v>
      </c>
      <c r="U288" s="1" t="str">
        <f t="shared" si="87"/>
        <v>SIM</v>
      </c>
      <c r="V288" s="1">
        <f t="shared" si="88"/>
        <v>1061</v>
      </c>
      <c r="W288" s="4">
        <f t="shared" si="89"/>
        <v>3.0160226201696512</v>
      </c>
      <c r="X288" s="4">
        <f t="shared" si="90"/>
        <v>1100.8482563619227</v>
      </c>
      <c r="Y288" s="4">
        <f t="shared" si="91"/>
        <v>1.3760603204524033</v>
      </c>
      <c r="AB288" s="5">
        <f t="shared" si="92"/>
        <v>45292</v>
      </c>
      <c r="AC288" s="5">
        <f t="shared" si="93"/>
        <v>45657</v>
      </c>
      <c r="AD288" s="1">
        <v>79</v>
      </c>
      <c r="AE288" s="1">
        <f t="shared" si="94"/>
        <v>0</v>
      </c>
      <c r="AF288" s="1">
        <f t="shared" si="95"/>
        <v>331</v>
      </c>
      <c r="AG288" s="1">
        <f t="shared" si="96"/>
        <v>0</v>
      </c>
      <c r="AH288" s="1">
        <f t="shared" si="97"/>
        <v>0</v>
      </c>
      <c r="AI288" s="1">
        <f t="shared" si="98"/>
        <v>0</v>
      </c>
      <c r="AJ288" s="3">
        <f t="shared" si="99"/>
        <v>0.90437158469945356</v>
      </c>
      <c r="AK288" s="3">
        <f t="shared" si="100"/>
        <v>1.2444698526495779</v>
      </c>
      <c r="AL288" s="3">
        <f t="shared" si="101"/>
        <v>98.313118359316647</v>
      </c>
      <c r="AM288" s="3">
        <f t="shared" si="102"/>
        <v>245.78279589829162</v>
      </c>
      <c r="AN288" s="3">
        <f t="shared" si="103"/>
        <v>122.89139794914581</v>
      </c>
      <c r="AO288" s="3">
        <f t="shared" si="104"/>
        <v>368.67419384743744</v>
      </c>
      <c r="AP288" s="1" t="str">
        <f>INDEX({"EAD";"EAD";"EAD";"EAD MOOC";"EAD";"EAD";"EAD FP";"EAD";"PRESENCIAL";"PRESENCIAL";"PRESENCIAL";"PRESENCIAL"}, MATCH(CONCATENATE(E288, ".", F288),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89" spans="1:42" x14ac:dyDescent="0.25">
      <c r="A289" s="1" t="s">
        <v>27</v>
      </c>
      <c r="B289" s="1" t="s">
        <v>41</v>
      </c>
      <c r="C289" s="1" t="s">
        <v>29</v>
      </c>
      <c r="D289" s="1" t="s">
        <v>42</v>
      </c>
      <c r="E289" s="1" t="s">
        <v>120</v>
      </c>
      <c r="F289" s="1" t="s">
        <v>21</v>
      </c>
      <c r="G289" s="1" t="s">
        <v>128</v>
      </c>
      <c r="H289" s="1" t="s">
        <v>315</v>
      </c>
      <c r="I289" s="1" t="s">
        <v>228</v>
      </c>
      <c r="J289" s="1" t="s">
        <v>108</v>
      </c>
      <c r="K289" s="1" t="s">
        <v>130</v>
      </c>
      <c r="L289" s="1">
        <v>3081854</v>
      </c>
      <c r="M289" s="1" t="s">
        <v>473</v>
      </c>
      <c r="N289" s="5">
        <f t="shared" si="107"/>
        <v>45327</v>
      </c>
      <c r="O289" s="5">
        <f>DATE(2026,12,31)</f>
        <v>46387</v>
      </c>
      <c r="P289" s="5">
        <f t="shared" si="85"/>
        <v>47482</v>
      </c>
      <c r="Q289" s="1">
        <v>3498</v>
      </c>
      <c r="R289" s="1">
        <v>1000</v>
      </c>
      <c r="S289" s="1">
        <f t="shared" si="86"/>
        <v>3100</v>
      </c>
      <c r="T289" s="1">
        <v>2.5</v>
      </c>
      <c r="U289" s="1" t="str">
        <f t="shared" si="87"/>
        <v>SIM</v>
      </c>
      <c r="V289" s="1">
        <f t="shared" si="88"/>
        <v>1061</v>
      </c>
      <c r="W289" s="4">
        <f t="shared" si="89"/>
        <v>2.9217719132893496</v>
      </c>
      <c r="X289" s="4">
        <f t="shared" si="90"/>
        <v>1066.4467483506126</v>
      </c>
      <c r="Y289" s="4">
        <f t="shared" si="91"/>
        <v>1.3330584354382657</v>
      </c>
      <c r="AB289" s="5">
        <f t="shared" si="92"/>
        <v>45292</v>
      </c>
      <c r="AC289" s="5">
        <f t="shared" si="93"/>
        <v>45657</v>
      </c>
      <c r="AD289" s="1">
        <v>70</v>
      </c>
      <c r="AE289" s="1">
        <f t="shared" si="94"/>
        <v>0</v>
      </c>
      <c r="AF289" s="1">
        <f t="shared" si="95"/>
        <v>331</v>
      </c>
      <c r="AG289" s="1">
        <f t="shared" si="96"/>
        <v>0</v>
      </c>
      <c r="AH289" s="1">
        <f t="shared" si="97"/>
        <v>0</v>
      </c>
      <c r="AI289" s="1">
        <f t="shared" si="98"/>
        <v>0</v>
      </c>
      <c r="AJ289" s="3">
        <f t="shared" si="99"/>
        <v>0.90437158469945356</v>
      </c>
      <c r="AK289" s="3">
        <f t="shared" si="100"/>
        <v>1.2055801697542785</v>
      </c>
      <c r="AL289" s="3">
        <f t="shared" si="101"/>
        <v>84.39061188279949</v>
      </c>
      <c r="AM289" s="3">
        <f t="shared" si="102"/>
        <v>210.97652970699872</v>
      </c>
      <c r="AN289" s="3">
        <f t="shared" si="103"/>
        <v>105.48826485349936</v>
      </c>
      <c r="AO289" s="3">
        <f t="shared" si="104"/>
        <v>316.46479456049809</v>
      </c>
      <c r="AP289" s="1" t="str">
        <f>INDEX({"EAD";"EAD";"EAD";"EAD MOOC";"EAD";"EAD";"EAD FP";"EAD";"PRESENCIAL";"PRESENCIAL";"PRESENCIAL";"PRESENCIAL"}, MATCH(CONCATENATE(E289, ".", F289),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90" spans="1:42" x14ac:dyDescent="0.25">
      <c r="A290" s="1" t="s">
        <v>27</v>
      </c>
      <c r="B290" s="1" t="s">
        <v>41</v>
      </c>
      <c r="C290" s="1" t="s">
        <v>29</v>
      </c>
      <c r="D290" s="1" t="s">
        <v>42</v>
      </c>
      <c r="E290" s="1" t="s">
        <v>120</v>
      </c>
      <c r="F290" s="1" t="s">
        <v>21</v>
      </c>
      <c r="G290" s="1" t="s">
        <v>128</v>
      </c>
      <c r="H290" s="1" t="s">
        <v>445</v>
      </c>
      <c r="I290" s="1" t="s">
        <v>107</v>
      </c>
      <c r="J290" s="1" t="s">
        <v>108</v>
      </c>
      <c r="K290" s="1" t="s">
        <v>163</v>
      </c>
      <c r="L290" s="1">
        <v>3081861</v>
      </c>
      <c r="M290" s="1" t="s">
        <v>474</v>
      </c>
      <c r="N290" s="5">
        <f t="shared" si="107"/>
        <v>45327</v>
      </c>
      <c r="O290" s="5">
        <f>DATE(2025,7,31)</f>
        <v>45869</v>
      </c>
      <c r="P290" s="5">
        <f t="shared" si="85"/>
        <v>46964</v>
      </c>
      <c r="Q290" s="1">
        <v>1200</v>
      </c>
      <c r="R290" s="1">
        <v>1200</v>
      </c>
      <c r="S290" s="1">
        <f t="shared" si="86"/>
        <v>1200</v>
      </c>
      <c r="T290" s="1">
        <v>2</v>
      </c>
      <c r="U290" s="1" t="str">
        <f t="shared" si="87"/>
        <v>SIM</v>
      </c>
      <c r="V290" s="1">
        <f t="shared" si="88"/>
        <v>543</v>
      </c>
      <c r="W290" s="4">
        <f t="shared" si="89"/>
        <v>2.2099447513812156</v>
      </c>
      <c r="X290" s="4">
        <f t="shared" si="90"/>
        <v>806.6298342541437</v>
      </c>
      <c r="Y290" s="4">
        <f t="shared" si="91"/>
        <v>1.0082872928176796</v>
      </c>
      <c r="AB290" s="5">
        <f t="shared" si="92"/>
        <v>45292</v>
      </c>
      <c r="AC290" s="5">
        <f t="shared" si="93"/>
        <v>45657</v>
      </c>
      <c r="AD290" s="1">
        <v>16</v>
      </c>
      <c r="AE290" s="1">
        <f t="shared" si="94"/>
        <v>0</v>
      </c>
      <c r="AF290" s="1">
        <f t="shared" si="95"/>
        <v>331</v>
      </c>
      <c r="AG290" s="1">
        <f t="shared" si="96"/>
        <v>0</v>
      </c>
      <c r="AH290" s="1">
        <f t="shared" si="97"/>
        <v>0</v>
      </c>
      <c r="AI290" s="1">
        <f t="shared" si="98"/>
        <v>0</v>
      </c>
      <c r="AJ290" s="3">
        <f t="shared" si="99"/>
        <v>0.90437158469945356</v>
      </c>
      <c r="AK290" s="3">
        <f t="shared" si="100"/>
        <v>0.91186637683784688</v>
      </c>
      <c r="AL290" s="3">
        <f t="shared" si="101"/>
        <v>14.58986202940555</v>
      </c>
      <c r="AM290" s="3">
        <f t="shared" si="102"/>
        <v>29.1797240588111</v>
      </c>
      <c r="AN290" s="3">
        <f t="shared" si="103"/>
        <v>14.58986202940555</v>
      </c>
      <c r="AO290" s="3">
        <f t="shared" si="104"/>
        <v>43.769586088216649</v>
      </c>
      <c r="AP290" s="1" t="str">
        <f>INDEX({"EAD";"EAD";"EAD";"EAD MOOC";"EAD";"EAD";"EAD FP";"EAD";"PRESENCIAL";"PRESENCIAL";"PRESENCIAL";"PRESENCIAL"}, MATCH(CONCATENATE(E290, ".", F290),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91" spans="1:42" x14ac:dyDescent="0.25">
      <c r="A291" s="1" t="s">
        <v>27</v>
      </c>
      <c r="B291" s="1" t="s">
        <v>41</v>
      </c>
      <c r="C291" s="1" t="s">
        <v>29</v>
      </c>
      <c r="D291" s="1" t="s">
        <v>42</v>
      </c>
      <c r="E291" s="1" t="s">
        <v>120</v>
      </c>
      <c r="F291" s="1" t="s">
        <v>21</v>
      </c>
      <c r="G291" s="1" t="s">
        <v>121</v>
      </c>
      <c r="H291" s="1" t="s">
        <v>322</v>
      </c>
      <c r="I291" s="1" t="s">
        <v>107</v>
      </c>
      <c r="J291" s="1" t="s">
        <v>108</v>
      </c>
      <c r="K291" s="1" t="s">
        <v>109</v>
      </c>
      <c r="L291" s="1">
        <v>3081901</v>
      </c>
      <c r="M291" s="1" t="s">
        <v>475</v>
      </c>
      <c r="N291" s="5">
        <f t="shared" si="107"/>
        <v>45327</v>
      </c>
      <c r="O291" s="5">
        <f>DATE(2028,10,31)</f>
        <v>47057</v>
      </c>
      <c r="P291" s="5">
        <f t="shared" si="85"/>
        <v>48152</v>
      </c>
      <c r="Q291" s="1">
        <v>4069</v>
      </c>
      <c r="R291" s="1">
        <v>3600</v>
      </c>
      <c r="S291" s="1">
        <f t="shared" si="86"/>
        <v>3600</v>
      </c>
      <c r="T291" s="1">
        <v>2.5</v>
      </c>
      <c r="U291" s="1" t="str">
        <f t="shared" si="87"/>
        <v>SIM</v>
      </c>
      <c r="V291" s="1">
        <f t="shared" si="88"/>
        <v>1731</v>
      </c>
      <c r="W291" s="4">
        <f t="shared" si="89"/>
        <v>2.0797227036395149</v>
      </c>
      <c r="X291" s="4">
        <f t="shared" si="90"/>
        <v>759.09878682842293</v>
      </c>
      <c r="Y291" s="4">
        <f t="shared" si="91"/>
        <v>0.94887348353552869</v>
      </c>
      <c r="AB291" s="5">
        <f t="shared" si="92"/>
        <v>45292</v>
      </c>
      <c r="AC291" s="5">
        <f t="shared" si="93"/>
        <v>45657</v>
      </c>
      <c r="AD291" s="1">
        <v>43</v>
      </c>
      <c r="AE291" s="1">
        <f t="shared" si="94"/>
        <v>0</v>
      </c>
      <c r="AF291" s="1">
        <f t="shared" si="95"/>
        <v>331</v>
      </c>
      <c r="AG291" s="1">
        <f t="shared" si="96"/>
        <v>0</v>
      </c>
      <c r="AH291" s="1">
        <f t="shared" si="97"/>
        <v>0</v>
      </c>
      <c r="AI291" s="1">
        <f t="shared" si="98"/>
        <v>0</v>
      </c>
      <c r="AJ291" s="3">
        <f t="shared" si="99"/>
        <v>0.90437158469945356</v>
      </c>
      <c r="AK291" s="3">
        <f t="shared" si="100"/>
        <v>0.85813421598431694</v>
      </c>
      <c r="AL291" s="3">
        <f t="shared" si="101"/>
        <v>36.899771287325628</v>
      </c>
      <c r="AM291" s="3">
        <f t="shared" si="102"/>
        <v>92.249428218314065</v>
      </c>
      <c r="AN291" s="3">
        <f t="shared" si="103"/>
        <v>46.124714109157033</v>
      </c>
      <c r="AO291" s="3">
        <f t="shared" si="104"/>
        <v>138.37414232747111</v>
      </c>
      <c r="AP291" s="1" t="str">
        <f>INDEX({"EAD";"EAD";"EAD";"EAD MOOC";"EAD";"EAD";"EAD FP";"EAD";"PRESENCIAL";"PRESENCIAL";"PRESENCIAL";"PRESENCIAL"}, MATCH(CONCATENATE(E291, ".", F291),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92" spans="1:42" x14ac:dyDescent="0.25">
      <c r="A292" s="1" t="s">
        <v>27</v>
      </c>
      <c r="B292" s="1" t="s">
        <v>41</v>
      </c>
      <c r="C292" s="1" t="s">
        <v>29</v>
      </c>
      <c r="D292" s="1" t="s">
        <v>42</v>
      </c>
      <c r="E292" s="1" t="s">
        <v>120</v>
      </c>
      <c r="F292" s="1" t="s">
        <v>21</v>
      </c>
      <c r="G292" s="1" t="s">
        <v>278</v>
      </c>
      <c r="H292" s="1" t="s">
        <v>320</v>
      </c>
      <c r="I292" s="1" t="s">
        <v>172</v>
      </c>
      <c r="J292" s="1" t="s">
        <v>125</v>
      </c>
      <c r="K292" s="1" t="s">
        <v>109</v>
      </c>
      <c r="L292" s="1">
        <v>3081902</v>
      </c>
      <c r="M292" s="1" t="s">
        <v>476</v>
      </c>
      <c r="N292" s="5">
        <f t="shared" si="107"/>
        <v>45327</v>
      </c>
      <c r="O292" s="5">
        <f>DATE(2027,12,31)</f>
        <v>46752</v>
      </c>
      <c r="P292" s="5">
        <f t="shared" si="85"/>
        <v>47847</v>
      </c>
      <c r="Q292" s="1">
        <v>3350</v>
      </c>
      <c r="R292" s="1">
        <v>3200</v>
      </c>
      <c r="S292" s="1">
        <f t="shared" si="86"/>
        <v>3200</v>
      </c>
      <c r="T292" s="1">
        <v>2.5</v>
      </c>
      <c r="U292" s="1" t="str">
        <f t="shared" si="87"/>
        <v>SIM</v>
      </c>
      <c r="V292" s="1">
        <f t="shared" si="88"/>
        <v>1426</v>
      </c>
      <c r="W292" s="4">
        <f t="shared" si="89"/>
        <v>2.244039270687237</v>
      </c>
      <c r="X292" s="4">
        <f t="shared" si="90"/>
        <v>819.07433380084149</v>
      </c>
      <c r="Y292" s="4">
        <f t="shared" si="91"/>
        <v>1.0238429172510519</v>
      </c>
      <c r="AB292" s="5">
        <f t="shared" si="92"/>
        <v>45292</v>
      </c>
      <c r="AC292" s="5">
        <f t="shared" si="93"/>
        <v>45657</v>
      </c>
      <c r="AD292" s="1">
        <v>26</v>
      </c>
      <c r="AE292" s="1">
        <f t="shared" si="94"/>
        <v>0</v>
      </c>
      <c r="AF292" s="1">
        <f t="shared" si="95"/>
        <v>331</v>
      </c>
      <c r="AG292" s="1">
        <f t="shared" si="96"/>
        <v>0</v>
      </c>
      <c r="AH292" s="1">
        <f t="shared" si="97"/>
        <v>0</v>
      </c>
      <c r="AI292" s="1">
        <f t="shared" si="98"/>
        <v>0</v>
      </c>
      <c r="AJ292" s="3">
        <f t="shared" si="99"/>
        <v>0.90437158469945356</v>
      </c>
      <c r="AK292" s="3">
        <f t="shared" si="100"/>
        <v>0.92593444155764537</v>
      </c>
      <c r="AL292" s="3">
        <f t="shared" si="101"/>
        <v>24.07429548049878</v>
      </c>
      <c r="AM292" s="3">
        <f t="shared" si="102"/>
        <v>60.185738701246947</v>
      </c>
      <c r="AN292" s="3">
        <f t="shared" si="103"/>
        <v>0</v>
      </c>
      <c r="AO292" s="3">
        <f t="shared" si="104"/>
        <v>60.185738701246947</v>
      </c>
      <c r="AP292" s="1" t="str">
        <f>INDEX({"EAD";"EAD";"EAD";"EAD MOOC";"EAD";"EAD";"EAD FP";"EAD";"PRESENCIAL";"PRESENCIAL";"PRESENCIAL";"PRESENCIAL"}, MATCH(CONCATENATE(E292, ".", F292),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93" spans="1:42" x14ac:dyDescent="0.25">
      <c r="A293" s="1" t="s">
        <v>27</v>
      </c>
      <c r="B293" s="1" t="s">
        <v>41</v>
      </c>
      <c r="C293" s="1" t="s">
        <v>29</v>
      </c>
      <c r="D293" s="1" t="s">
        <v>42</v>
      </c>
      <c r="E293" s="1" t="s">
        <v>120</v>
      </c>
      <c r="F293" s="1" t="s">
        <v>21</v>
      </c>
      <c r="G293" s="1" t="s">
        <v>278</v>
      </c>
      <c r="H293" s="1" t="s">
        <v>405</v>
      </c>
      <c r="I293" s="1" t="s">
        <v>172</v>
      </c>
      <c r="J293" s="1" t="s">
        <v>125</v>
      </c>
      <c r="K293" s="1" t="s">
        <v>109</v>
      </c>
      <c r="L293" s="1">
        <v>3081904</v>
      </c>
      <c r="M293" s="1" t="s">
        <v>477</v>
      </c>
      <c r="N293" s="5">
        <f t="shared" si="107"/>
        <v>45327</v>
      </c>
      <c r="O293" s="5">
        <f>DATE(2027,12,31)</f>
        <v>46752</v>
      </c>
      <c r="P293" s="5">
        <f t="shared" si="85"/>
        <v>47847</v>
      </c>
      <c r="Q293" s="1">
        <v>3212</v>
      </c>
      <c r="R293" s="1">
        <v>3200</v>
      </c>
      <c r="S293" s="1">
        <f t="shared" si="86"/>
        <v>3200</v>
      </c>
      <c r="T293" s="1">
        <v>2.5</v>
      </c>
      <c r="U293" s="1" t="str">
        <f t="shared" si="87"/>
        <v>SIM</v>
      </c>
      <c r="V293" s="1">
        <f t="shared" si="88"/>
        <v>1426</v>
      </c>
      <c r="W293" s="4">
        <f t="shared" si="89"/>
        <v>2.244039270687237</v>
      </c>
      <c r="X293" s="4">
        <f t="shared" si="90"/>
        <v>819.07433380084149</v>
      </c>
      <c r="Y293" s="4">
        <f t="shared" si="91"/>
        <v>1.0238429172510519</v>
      </c>
      <c r="AB293" s="5">
        <f t="shared" si="92"/>
        <v>45292</v>
      </c>
      <c r="AC293" s="5">
        <f t="shared" si="93"/>
        <v>45657</v>
      </c>
      <c r="AD293" s="1">
        <v>21</v>
      </c>
      <c r="AE293" s="1">
        <f t="shared" si="94"/>
        <v>0</v>
      </c>
      <c r="AF293" s="1">
        <f t="shared" si="95"/>
        <v>331</v>
      </c>
      <c r="AG293" s="1">
        <f t="shared" si="96"/>
        <v>0</v>
      </c>
      <c r="AH293" s="1">
        <f t="shared" si="97"/>
        <v>0</v>
      </c>
      <c r="AI293" s="1">
        <f t="shared" si="98"/>
        <v>0</v>
      </c>
      <c r="AJ293" s="3">
        <f t="shared" si="99"/>
        <v>0.90437158469945356</v>
      </c>
      <c r="AK293" s="3">
        <f t="shared" si="100"/>
        <v>0.92593444155764537</v>
      </c>
      <c r="AL293" s="3">
        <f t="shared" si="101"/>
        <v>19.444623272710551</v>
      </c>
      <c r="AM293" s="3">
        <f t="shared" si="102"/>
        <v>48.611558181776374</v>
      </c>
      <c r="AN293" s="3">
        <f t="shared" si="103"/>
        <v>0</v>
      </c>
      <c r="AO293" s="3">
        <f t="shared" si="104"/>
        <v>48.611558181776374</v>
      </c>
      <c r="AP293" s="1" t="str">
        <f>INDEX({"EAD";"EAD";"EAD";"EAD MOOC";"EAD";"EAD";"EAD FP";"EAD";"PRESENCIAL";"PRESENCIAL";"PRESENCIAL";"PRESENCIAL"}, MATCH(CONCATENATE(E293, ".", F293),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94" spans="1:42" x14ac:dyDescent="0.25">
      <c r="A294" s="1" t="s">
        <v>27</v>
      </c>
      <c r="B294" s="1" t="s">
        <v>41</v>
      </c>
      <c r="C294" s="1" t="s">
        <v>29</v>
      </c>
      <c r="D294" s="1" t="s">
        <v>42</v>
      </c>
      <c r="E294" s="1" t="s">
        <v>120</v>
      </c>
      <c r="F294" s="1" t="s">
        <v>21</v>
      </c>
      <c r="G294" s="1" t="s">
        <v>278</v>
      </c>
      <c r="H294" s="1" t="s">
        <v>279</v>
      </c>
      <c r="I294" s="1" t="s">
        <v>172</v>
      </c>
      <c r="J294" s="1" t="s">
        <v>125</v>
      </c>
      <c r="K294" s="1" t="s">
        <v>109</v>
      </c>
      <c r="L294" s="1">
        <v>3082129</v>
      </c>
      <c r="M294" s="1" t="s">
        <v>478</v>
      </c>
      <c r="N294" s="5">
        <f t="shared" si="107"/>
        <v>45327</v>
      </c>
      <c r="O294" s="5">
        <f>DATE(2027,12,31)</f>
        <v>46752</v>
      </c>
      <c r="P294" s="5">
        <f t="shared" si="85"/>
        <v>47847</v>
      </c>
      <c r="Q294" s="1">
        <v>3212</v>
      </c>
      <c r="R294" s="1">
        <v>3200</v>
      </c>
      <c r="S294" s="1">
        <f t="shared" si="86"/>
        <v>3200</v>
      </c>
      <c r="T294" s="1">
        <v>2.5</v>
      </c>
      <c r="U294" s="1" t="str">
        <f t="shared" si="87"/>
        <v>SIM</v>
      </c>
      <c r="V294" s="1">
        <f t="shared" si="88"/>
        <v>1426</v>
      </c>
      <c r="W294" s="4">
        <f t="shared" si="89"/>
        <v>2.244039270687237</v>
      </c>
      <c r="X294" s="4">
        <f t="shared" si="90"/>
        <v>819.07433380084149</v>
      </c>
      <c r="Y294" s="4">
        <f t="shared" si="91"/>
        <v>1.0238429172510519</v>
      </c>
      <c r="AB294" s="5">
        <f t="shared" si="92"/>
        <v>45292</v>
      </c>
      <c r="AC294" s="5">
        <f t="shared" si="93"/>
        <v>45657</v>
      </c>
      <c r="AD294" s="1">
        <v>14</v>
      </c>
      <c r="AE294" s="1">
        <f t="shared" si="94"/>
        <v>0</v>
      </c>
      <c r="AF294" s="1">
        <f t="shared" si="95"/>
        <v>331</v>
      </c>
      <c r="AG294" s="1">
        <f t="shared" si="96"/>
        <v>0</v>
      </c>
      <c r="AH294" s="1">
        <f t="shared" si="97"/>
        <v>0</v>
      </c>
      <c r="AI294" s="1">
        <f t="shared" si="98"/>
        <v>0</v>
      </c>
      <c r="AJ294" s="3">
        <f t="shared" si="99"/>
        <v>0.90437158469945356</v>
      </c>
      <c r="AK294" s="3">
        <f t="shared" si="100"/>
        <v>0.92593444155764537</v>
      </c>
      <c r="AL294" s="3">
        <f t="shared" si="101"/>
        <v>12.963082181807035</v>
      </c>
      <c r="AM294" s="3">
        <f t="shared" si="102"/>
        <v>32.40770545451759</v>
      </c>
      <c r="AN294" s="3">
        <f t="shared" si="103"/>
        <v>0</v>
      </c>
      <c r="AO294" s="3">
        <f t="shared" si="104"/>
        <v>32.40770545451759</v>
      </c>
      <c r="AP294" s="1" t="str">
        <f>INDEX({"EAD";"EAD";"EAD";"EAD MOOC";"EAD";"EAD";"EAD FP";"EAD";"PRESENCIAL";"PRESENCIAL";"PRESENCIAL";"PRESENCIAL"}, MATCH(CONCATENATE(E294, ".", F294),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95" spans="1:42" x14ac:dyDescent="0.25">
      <c r="A295" s="1" t="s">
        <v>27</v>
      </c>
      <c r="B295" s="1" t="s">
        <v>41</v>
      </c>
      <c r="C295" s="1" t="s">
        <v>29</v>
      </c>
      <c r="D295" s="1" t="s">
        <v>42</v>
      </c>
      <c r="E295" s="1" t="s">
        <v>120</v>
      </c>
      <c r="F295" s="1" t="s">
        <v>21</v>
      </c>
      <c r="G295" s="1" t="s">
        <v>278</v>
      </c>
      <c r="H295" s="1" t="s">
        <v>407</v>
      </c>
      <c r="I295" s="1" t="s">
        <v>172</v>
      </c>
      <c r="J295" s="1" t="s">
        <v>125</v>
      </c>
      <c r="K295" s="1" t="s">
        <v>109</v>
      </c>
      <c r="L295" s="1">
        <v>3082144</v>
      </c>
      <c r="M295" s="1" t="s">
        <v>479</v>
      </c>
      <c r="N295" s="5">
        <f t="shared" si="107"/>
        <v>45327</v>
      </c>
      <c r="O295" s="5">
        <f>DATE(2027,12,31)</f>
        <v>46752</v>
      </c>
      <c r="P295" s="5">
        <f t="shared" si="85"/>
        <v>47847</v>
      </c>
      <c r="Q295" s="1">
        <v>3212</v>
      </c>
      <c r="R295" s="1">
        <v>3200</v>
      </c>
      <c r="S295" s="1">
        <f t="shared" si="86"/>
        <v>3200</v>
      </c>
      <c r="T295" s="1">
        <v>2.5</v>
      </c>
      <c r="U295" s="1" t="str">
        <f t="shared" si="87"/>
        <v>SIM</v>
      </c>
      <c r="V295" s="1">
        <f t="shared" si="88"/>
        <v>1426</v>
      </c>
      <c r="W295" s="4">
        <f t="shared" si="89"/>
        <v>2.244039270687237</v>
      </c>
      <c r="X295" s="4">
        <f t="shared" si="90"/>
        <v>819.07433380084149</v>
      </c>
      <c r="Y295" s="4">
        <f t="shared" si="91"/>
        <v>1.0238429172510519</v>
      </c>
      <c r="AB295" s="5">
        <f t="shared" si="92"/>
        <v>45292</v>
      </c>
      <c r="AC295" s="5">
        <f t="shared" si="93"/>
        <v>45657</v>
      </c>
      <c r="AD295" s="1">
        <v>9</v>
      </c>
      <c r="AE295" s="1">
        <f t="shared" si="94"/>
        <v>0</v>
      </c>
      <c r="AF295" s="1">
        <f t="shared" si="95"/>
        <v>331</v>
      </c>
      <c r="AG295" s="1">
        <f t="shared" si="96"/>
        <v>0</v>
      </c>
      <c r="AH295" s="1">
        <f t="shared" si="97"/>
        <v>0</v>
      </c>
      <c r="AI295" s="1">
        <f t="shared" si="98"/>
        <v>0</v>
      </c>
      <c r="AJ295" s="3">
        <f t="shared" si="99"/>
        <v>0.90437158469945356</v>
      </c>
      <c r="AK295" s="3">
        <f t="shared" si="100"/>
        <v>0.92593444155764537</v>
      </c>
      <c r="AL295" s="3">
        <f t="shared" si="101"/>
        <v>8.3334099740188083</v>
      </c>
      <c r="AM295" s="3">
        <f t="shared" si="102"/>
        <v>20.83352493504702</v>
      </c>
      <c r="AN295" s="3">
        <f t="shared" si="103"/>
        <v>0</v>
      </c>
      <c r="AO295" s="3">
        <f t="shared" si="104"/>
        <v>20.83352493504702</v>
      </c>
      <c r="AP295" s="1" t="str">
        <f>INDEX({"EAD";"EAD";"EAD";"EAD MOOC";"EAD";"EAD";"EAD FP";"EAD";"PRESENCIAL";"PRESENCIAL";"PRESENCIAL";"PRESENCIAL"}, MATCH(CONCATENATE(E295, ".", F295),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96" spans="1:42" x14ac:dyDescent="0.25">
      <c r="A296" s="1" t="s">
        <v>27</v>
      </c>
      <c r="B296" s="1" t="s">
        <v>41</v>
      </c>
      <c r="C296" s="1" t="s">
        <v>29</v>
      </c>
      <c r="D296" s="1" t="s">
        <v>42</v>
      </c>
      <c r="E296" s="1" t="s">
        <v>120</v>
      </c>
      <c r="F296" s="1" t="s">
        <v>21</v>
      </c>
      <c r="G296" s="1" t="s">
        <v>128</v>
      </c>
      <c r="H296" s="1" t="s">
        <v>480</v>
      </c>
      <c r="I296" s="1" t="s">
        <v>107</v>
      </c>
      <c r="J296" s="1" t="s">
        <v>108</v>
      </c>
      <c r="K296" s="1" t="s">
        <v>259</v>
      </c>
      <c r="L296" s="1">
        <v>3194016</v>
      </c>
      <c r="M296" s="1" t="s">
        <v>481</v>
      </c>
      <c r="N296" s="5">
        <f t="shared" si="107"/>
        <v>45327</v>
      </c>
      <c r="O296" s="5">
        <f>DATE(2026,12,31)</f>
        <v>46387</v>
      </c>
      <c r="P296" s="5">
        <f t="shared" si="85"/>
        <v>47482</v>
      </c>
      <c r="Q296" s="1">
        <v>1200</v>
      </c>
      <c r="R296" s="1">
        <v>1200</v>
      </c>
      <c r="S296" s="1">
        <f t="shared" si="86"/>
        <v>1200</v>
      </c>
      <c r="T296" s="1">
        <v>2.5</v>
      </c>
      <c r="U296" s="1" t="str">
        <f t="shared" si="87"/>
        <v>SIM</v>
      </c>
      <c r="V296" s="1">
        <f t="shared" si="88"/>
        <v>1061</v>
      </c>
      <c r="W296" s="4">
        <f t="shared" si="89"/>
        <v>1.1310084825636193</v>
      </c>
      <c r="X296" s="4">
        <f t="shared" si="90"/>
        <v>412.81809613572102</v>
      </c>
      <c r="Y296" s="4">
        <f t="shared" si="91"/>
        <v>0.51602262016965128</v>
      </c>
      <c r="AB296" s="5">
        <f t="shared" si="92"/>
        <v>45292</v>
      </c>
      <c r="AC296" s="5">
        <f t="shared" si="93"/>
        <v>45657</v>
      </c>
      <c r="AD296" s="1">
        <v>38</v>
      </c>
      <c r="AE296" s="1">
        <f t="shared" si="94"/>
        <v>0</v>
      </c>
      <c r="AF296" s="1">
        <f t="shared" si="95"/>
        <v>331</v>
      </c>
      <c r="AG296" s="1">
        <f t="shared" si="96"/>
        <v>0</v>
      </c>
      <c r="AH296" s="1">
        <f t="shared" si="97"/>
        <v>0</v>
      </c>
      <c r="AI296" s="1">
        <f t="shared" si="98"/>
        <v>0</v>
      </c>
      <c r="AJ296" s="3">
        <f t="shared" si="99"/>
        <v>0.90437158469945356</v>
      </c>
      <c r="AK296" s="3">
        <f t="shared" si="100"/>
        <v>0.46667619474359173</v>
      </c>
      <c r="AL296" s="3">
        <f t="shared" si="101"/>
        <v>17.733695400256487</v>
      </c>
      <c r="AM296" s="3">
        <f t="shared" si="102"/>
        <v>44.33423850064122</v>
      </c>
      <c r="AN296" s="3">
        <f t="shared" si="103"/>
        <v>22.16711925032061</v>
      </c>
      <c r="AO296" s="3">
        <f t="shared" si="104"/>
        <v>66.50135775096183</v>
      </c>
      <c r="AP296" s="1" t="str">
        <f>INDEX({"EAD";"EAD";"EAD";"EAD MOOC";"EAD";"EAD";"EAD FP";"EAD";"PRESENCIAL";"PRESENCIAL";"PRESENCIAL";"PRESENCIAL"}, MATCH(CONCATENATE(E296, ".", F296),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97" spans="1:42" x14ac:dyDescent="0.25">
      <c r="A297" s="1" t="s">
        <v>27</v>
      </c>
      <c r="B297" s="1" t="s">
        <v>41</v>
      </c>
      <c r="C297" s="1" t="s">
        <v>29</v>
      </c>
      <c r="D297" s="1" t="s">
        <v>42</v>
      </c>
      <c r="E297" s="1" t="s">
        <v>120</v>
      </c>
      <c r="F297" s="1" t="s">
        <v>21</v>
      </c>
      <c r="G297" s="1" t="s">
        <v>128</v>
      </c>
      <c r="H297" s="1" t="s">
        <v>482</v>
      </c>
      <c r="I297" s="1" t="s">
        <v>124</v>
      </c>
      <c r="J297" s="1" t="s">
        <v>125</v>
      </c>
      <c r="K297" s="1" t="s">
        <v>259</v>
      </c>
      <c r="L297" s="1">
        <v>3194020</v>
      </c>
      <c r="M297" s="1" t="s">
        <v>483</v>
      </c>
      <c r="N297" s="5">
        <f t="shared" si="107"/>
        <v>45327</v>
      </c>
      <c r="O297" s="5">
        <f>DATE(2026,12,31)</f>
        <v>46387</v>
      </c>
      <c r="P297" s="5">
        <f t="shared" si="85"/>
        <v>47482</v>
      </c>
      <c r="Q297" s="1">
        <v>1200</v>
      </c>
      <c r="R297" s="1">
        <v>800</v>
      </c>
      <c r="S297" s="1">
        <f t="shared" si="86"/>
        <v>800</v>
      </c>
      <c r="T297" s="1">
        <v>1</v>
      </c>
      <c r="U297" s="1" t="str">
        <f t="shared" si="87"/>
        <v>SIM</v>
      </c>
      <c r="V297" s="1">
        <f t="shared" si="88"/>
        <v>1061</v>
      </c>
      <c r="W297" s="4">
        <f t="shared" si="89"/>
        <v>0.75400565504241279</v>
      </c>
      <c r="X297" s="4">
        <f t="shared" si="90"/>
        <v>275.21206409048068</v>
      </c>
      <c r="Y297" s="4">
        <f t="shared" si="91"/>
        <v>0.34401508011310084</v>
      </c>
      <c r="AB297" s="5">
        <f t="shared" si="92"/>
        <v>45292</v>
      </c>
      <c r="AC297" s="5">
        <f t="shared" si="93"/>
        <v>45657</v>
      </c>
      <c r="AD297" s="1">
        <v>66</v>
      </c>
      <c r="AE297" s="1">
        <f t="shared" si="94"/>
        <v>0</v>
      </c>
      <c r="AF297" s="1">
        <f t="shared" si="95"/>
        <v>331</v>
      </c>
      <c r="AG297" s="1">
        <f t="shared" si="96"/>
        <v>0</v>
      </c>
      <c r="AH297" s="1">
        <f t="shared" si="97"/>
        <v>0</v>
      </c>
      <c r="AI297" s="1">
        <f t="shared" si="98"/>
        <v>0</v>
      </c>
      <c r="AJ297" s="3">
        <f t="shared" si="99"/>
        <v>0.90437158469945356</v>
      </c>
      <c r="AK297" s="3">
        <f t="shared" si="100"/>
        <v>0.31111746316239447</v>
      </c>
      <c r="AL297" s="3">
        <f t="shared" si="101"/>
        <v>20.533752568718036</v>
      </c>
      <c r="AM297" s="3">
        <f t="shared" si="102"/>
        <v>20.533752568718036</v>
      </c>
      <c r="AN297" s="3">
        <f t="shared" si="103"/>
        <v>0</v>
      </c>
      <c r="AO297" s="3">
        <f t="shared" si="104"/>
        <v>20.533752568718036</v>
      </c>
      <c r="AP297" s="1" t="str">
        <f>INDEX({"EAD";"EAD";"EAD";"EAD MOOC";"EAD";"EAD";"EAD FP";"EAD";"PRESENCIAL";"PRESENCIAL";"PRESENCIAL";"PRESENCIAL"}, MATCH(CONCATENATE(E297, ".", F297),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98" spans="1:42" x14ac:dyDescent="0.25">
      <c r="A298" s="1" t="s">
        <v>27</v>
      </c>
      <c r="B298" s="1" t="s">
        <v>41</v>
      </c>
      <c r="C298" s="1" t="s">
        <v>29</v>
      </c>
      <c r="D298" s="1" t="s">
        <v>42</v>
      </c>
      <c r="E298" s="1" t="s">
        <v>120</v>
      </c>
      <c r="F298" s="1" t="s">
        <v>21</v>
      </c>
      <c r="G298" s="1" t="s">
        <v>128</v>
      </c>
      <c r="H298" s="1" t="s">
        <v>132</v>
      </c>
      <c r="I298" s="1" t="s">
        <v>107</v>
      </c>
      <c r="J298" s="1" t="s">
        <v>108</v>
      </c>
      <c r="K298" s="1" t="s">
        <v>259</v>
      </c>
      <c r="L298" s="1">
        <v>3194022</v>
      </c>
      <c r="M298" s="1" t="s">
        <v>484</v>
      </c>
      <c r="N298" s="5">
        <f t="shared" si="107"/>
        <v>45327</v>
      </c>
      <c r="O298" s="5">
        <f>DATE(2026,12,31)</f>
        <v>46387</v>
      </c>
      <c r="P298" s="5">
        <f t="shared" si="85"/>
        <v>47482</v>
      </c>
      <c r="Q298" s="1">
        <v>1200</v>
      </c>
      <c r="R298" s="1">
        <v>1200</v>
      </c>
      <c r="S298" s="1">
        <f t="shared" si="86"/>
        <v>1200</v>
      </c>
      <c r="T298" s="1">
        <v>2.5</v>
      </c>
      <c r="U298" s="1" t="str">
        <f t="shared" si="87"/>
        <v>SIM</v>
      </c>
      <c r="V298" s="1">
        <f t="shared" si="88"/>
        <v>1061</v>
      </c>
      <c r="W298" s="4">
        <f t="shared" si="89"/>
        <v>1.1310084825636193</v>
      </c>
      <c r="X298" s="4">
        <f t="shared" si="90"/>
        <v>412.81809613572102</v>
      </c>
      <c r="Y298" s="4">
        <f t="shared" si="91"/>
        <v>0.51602262016965128</v>
      </c>
      <c r="AB298" s="5">
        <f t="shared" si="92"/>
        <v>45292</v>
      </c>
      <c r="AC298" s="5">
        <f t="shared" si="93"/>
        <v>45657</v>
      </c>
      <c r="AD298" s="1">
        <v>51</v>
      </c>
      <c r="AE298" s="1">
        <f t="shared" si="94"/>
        <v>0</v>
      </c>
      <c r="AF298" s="1">
        <f t="shared" si="95"/>
        <v>331</v>
      </c>
      <c r="AG298" s="1">
        <f t="shared" si="96"/>
        <v>0</v>
      </c>
      <c r="AH298" s="1">
        <f t="shared" si="97"/>
        <v>0</v>
      </c>
      <c r="AI298" s="1">
        <f t="shared" si="98"/>
        <v>0</v>
      </c>
      <c r="AJ298" s="3">
        <f t="shared" si="99"/>
        <v>0.90437158469945356</v>
      </c>
      <c r="AK298" s="3">
        <f t="shared" si="100"/>
        <v>0.46667619474359173</v>
      </c>
      <c r="AL298" s="3">
        <f t="shared" si="101"/>
        <v>23.800485931923177</v>
      </c>
      <c r="AM298" s="3">
        <f t="shared" si="102"/>
        <v>59.501214829807942</v>
      </c>
      <c r="AN298" s="3">
        <f t="shared" si="103"/>
        <v>29.750607414903971</v>
      </c>
      <c r="AO298" s="3">
        <f t="shared" si="104"/>
        <v>89.251822244711917</v>
      </c>
      <c r="AP298" s="1" t="str">
        <f>INDEX({"EAD";"EAD";"EAD";"EAD MOOC";"EAD";"EAD";"EAD FP";"EAD";"PRESENCIAL";"PRESENCIAL";"PRESENCIAL";"PRESENCIAL"}, MATCH(CONCATENATE(E298, ".", F298),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299" spans="1:42" x14ac:dyDescent="0.25">
      <c r="A299" s="1" t="s">
        <v>27</v>
      </c>
      <c r="B299" s="1" t="s">
        <v>41</v>
      </c>
      <c r="C299" s="1" t="s">
        <v>29</v>
      </c>
      <c r="D299" s="1" t="s">
        <v>42</v>
      </c>
      <c r="E299" s="1" t="s">
        <v>120</v>
      </c>
      <c r="F299" s="1" t="s">
        <v>21</v>
      </c>
      <c r="G299" s="1" t="s">
        <v>178</v>
      </c>
      <c r="H299" s="1" t="s">
        <v>435</v>
      </c>
      <c r="I299" s="1" t="s">
        <v>172</v>
      </c>
      <c r="J299" s="1" t="s">
        <v>125</v>
      </c>
      <c r="K299" s="1" t="s">
        <v>109</v>
      </c>
      <c r="L299" s="1">
        <v>3193527</v>
      </c>
      <c r="M299" s="1" t="s">
        <v>485</v>
      </c>
      <c r="N299" s="5">
        <f>DATE(2024,2,29)</f>
        <v>45351</v>
      </c>
      <c r="O299" s="5">
        <f>DATE(2024,10,1)</f>
        <v>45566</v>
      </c>
      <c r="P299" s="5">
        <f t="shared" si="85"/>
        <v>46661</v>
      </c>
      <c r="Q299" s="1">
        <v>450</v>
      </c>
      <c r="R299" s="1">
        <v>360</v>
      </c>
      <c r="S299" s="1">
        <f t="shared" si="86"/>
        <v>360</v>
      </c>
      <c r="T299" s="1">
        <v>2</v>
      </c>
      <c r="U299" s="1" t="str">
        <f t="shared" si="87"/>
        <v>SIM</v>
      </c>
      <c r="V299" s="1">
        <f t="shared" si="88"/>
        <v>216</v>
      </c>
      <c r="W299" s="4">
        <f t="shared" si="89"/>
        <v>1.6666666666666667</v>
      </c>
      <c r="X299" s="4">
        <f t="shared" si="90"/>
        <v>360</v>
      </c>
      <c r="Y299" s="4">
        <f t="shared" si="91"/>
        <v>0.45</v>
      </c>
      <c r="AB299" s="5">
        <f t="shared" si="92"/>
        <v>45292</v>
      </c>
      <c r="AC299" s="5">
        <f t="shared" si="93"/>
        <v>45657</v>
      </c>
      <c r="AD299" s="1">
        <v>11</v>
      </c>
      <c r="AE299" s="1">
        <f t="shared" si="94"/>
        <v>0</v>
      </c>
      <c r="AF299" s="1">
        <f t="shared" si="95"/>
        <v>0</v>
      </c>
      <c r="AG299" s="1">
        <f t="shared" si="96"/>
        <v>0</v>
      </c>
      <c r="AH299" s="1">
        <f t="shared" si="97"/>
        <v>216</v>
      </c>
      <c r="AI299" s="1">
        <f t="shared" si="98"/>
        <v>0</v>
      </c>
      <c r="AJ299" s="3">
        <f t="shared" si="99"/>
        <v>1</v>
      </c>
      <c r="AK299" s="3">
        <f t="shared" si="100"/>
        <v>0.45</v>
      </c>
      <c r="AL299" s="3">
        <f t="shared" si="101"/>
        <v>4.95</v>
      </c>
      <c r="AM299" s="3">
        <f t="shared" si="102"/>
        <v>9.9</v>
      </c>
      <c r="AN299" s="3">
        <f t="shared" si="103"/>
        <v>0</v>
      </c>
      <c r="AO299" s="3">
        <f t="shared" si="104"/>
        <v>9.9</v>
      </c>
      <c r="AP299" s="1" t="str">
        <f>INDEX({"EAD";"EAD";"EAD";"EAD MOOC";"EAD";"EAD";"EAD FP";"EAD";"PRESENCIAL";"PRESENCIAL";"PRESENCIAL";"PRESENCIAL"}, MATCH(CONCATENATE(E299, ".", F299),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00" spans="1:42" x14ac:dyDescent="0.25">
      <c r="A300" s="1" t="s">
        <v>27</v>
      </c>
      <c r="B300" s="1" t="s">
        <v>41</v>
      </c>
      <c r="C300" s="1" t="s">
        <v>29</v>
      </c>
      <c r="D300" s="1" t="s">
        <v>42</v>
      </c>
      <c r="E300" s="1" t="s">
        <v>120</v>
      </c>
      <c r="F300" s="1" t="s">
        <v>21</v>
      </c>
      <c r="G300" s="1" t="s">
        <v>161</v>
      </c>
      <c r="H300" s="1" t="s">
        <v>486</v>
      </c>
      <c r="I300" s="1" t="s">
        <v>107</v>
      </c>
      <c r="J300" s="1" t="s">
        <v>125</v>
      </c>
      <c r="K300" s="1" t="s">
        <v>109</v>
      </c>
      <c r="L300" s="1">
        <v>3194058</v>
      </c>
      <c r="M300" s="1" t="s">
        <v>487</v>
      </c>
      <c r="N300" s="5">
        <f>DATE(2024,2,29)</f>
        <v>45351</v>
      </c>
      <c r="O300" s="5">
        <f>DATE(2024,4,24)</f>
        <v>45406</v>
      </c>
      <c r="P300" s="5">
        <f t="shared" si="85"/>
        <v>45406</v>
      </c>
      <c r="Q300" s="1">
        <v>160</v>
      </c>
      <c r="R300" s="1">
        <v>160</v>
      </c>
      <c r="S300" s="1">
        <f t="shared" si="86"/>
        <v>160</v>
      </c>
      <c r="T300" s="1">
        <v>1</v>
      </c>
      <c r="U300" s="1" t="str">
        <f t="shared" si="87"/>
        <v>SIM</v>
      </c>
      <c r="V300" s="1">
        <f t="shared" si="88"/>
        <v>56</v>
      </c>
      <c r="W300" s="4">
        <f t="shared" si="89"/>
        <v>2.8571428571428572</v>
      </c>
      <c r="X300" s="4">
        <f t="shared" si="90"/>
        <v>160</v>
      </c>
      <c r="Y300" s="4">
        <f t="shared" si="91"/>
        <v>0.2</v>
      </c>
      <c r="AB300" s="5">
        <f t="shared" si="92"/>
        <v>45292</v>
      </c>
      <c r="AC300" s="5">
        <f t="shared" si="93"/>
        <v>45657</v>
      </c>
      <c r="AD300" s="1">
        <v>35</v>
      </c>
      <c r="AE300" s="1">
        <f t="shared" si="94"/>
        <v>0</v>
      </c>
      <c r="AF300" s="1">
        <f t="shared" si="95"/>
        <v>0</v>
      </c>
      <c r="AG300" s="1">
        <f t="shared" si="96"/>
        <v>0</v>
      </c>
      <c r="AH300" s="1">
        <f t="shared" si="97"/>
        <v>56</v>
      </c>
      <c r="AI300" s="1">
        <f t="shared" si="98"/>
        <v>0</v>
      </c>
      <c r="AJ300" s="3">
        <f t="shared" si="99"/>
        <v>1</v>
      </c>
      <c r="AK300" s="3">
        <f t="shared" si="100"/>
        <v>0.2</v>
      </c>
      <c r="AL300" s="3">
        <f t="shared" si="101"/>
        <v>7</v>
      </c>
      <c r="AM300" s="3">
        <f t="shared" si="102"/>
        <v>7</v>
      </c>
      <c r="AN300" s="3">
        <f t="shared" si="103"/>
        <v>0</v>
      </c>
      <c r="AO300" s="3">
        <f t="shared" si="104"/>
        <v>7</v>
      </c>
      <c r="AP300" s="1" t="str">
        <f>INDEX({"EAD";"EAD";"EAD";"EAD MOOC";"EAD";"EAD";"EAD FP";"EAD";"PRESENCIAL";"PRESENCIAL";"PRESENCIAL";"PRESENCIAL"}, MATCH(CONCATENATE(E300, ".", F300),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01" spans="1:42" x14ac:dyDescent="0.25">
      <c r="A301" s="1" t="s">
        <v>27</v>
      </c>
      <c r="B301" s="1" t="s">
        <v>41</v>
      </c>
      <c r="C301" s="1" t="s">
        <v>29</v>
      </c>
      <c r="D301" s="1" t="s">
        <v>42</v>
      </c>
      <c r="E301" s="1" t="s">
        <v>120</v>
      </c>
      <c r="F301" s="1" t="s">
        <v>21</v>
      </c>
      <c r="G301" s="1" t="s">
        <v>161</v>
      </c>
      <c r="H301" s="1" t="s">
        <v>488</v>
      </c>
      <c r="I301" s="1" t="s">
        <v>124</v>
      </c>
      <c r="J301" s="1" t="s">
        <v>125</v>
      </c>
      <c r="K301" s="1" t="s">
        <v>109</v>
      </c>
      <c r="L301" s="1">
        <v>3153158</v>
      </c>
      <c r="M301" s="1" t="s">
        <v>489</v>
      </c>
      <c r="N301" s="5">
        <f>DATE(2024,7,1)</f>
        <v>45474</v>
      </c>
      <c r="O301" s="5">
        <f>DATE(2024,7,31)</f>
        <v>45504</v>
      </c>
      <c r="P301" s="5">
        <f t="shared" si="85"/>
        <v>45504</v>
      </c>
      <c r="Q301" s="1">
        <v>40</v>
      </c>
      <c r="R301" s="1">
        <v>160</v>
      </c>
      <c r="S301" s="1">
        <f t="shared" si="86"/>
        <v>40</v>
      </c>
      <c r="T301" s="1">
        <v>1</v>
      </c>
      <c r="U301" s="1" t="str">
        <f t="shared" si="87"/>
        <v>SIM</v>
      </c>
      <c r="V301" s="1">
        <f t="shared" si="88"/>
        <v>31</v>
      </c>
      <c r="W301" s="4">
        <f t="shared" si="89"/>
        <v>1.2903225806451613</v>
      </c>
      <c r="X301" s="4">
        <f t="shared" si="90"/>
        <v>40</v>
      </c>
      <c r="Y301" s="4">
        <f t="shared" si="91"/>
        <v>0.05</v>
      </c>
      <c r="AB301" s="5">
        <f t="shared" si="92"/>
        <v>45292</v>
      </c>
      <c r="AC301" s="5">
        <f t="shared" si="93"/>
        <v>45657</v>
      </c>
      <c r="AD301" s="1">
        <v>3</v>
      </c>
      <c r="AE301" s="1">
        <f t="shared" si="94"/>
        <v>0</v>
      </c>
      <c r="AF301" s="1">
        <f t="shared" si="95"/>
        <v>0</v>
      </c>
      <c r="AG301" s="1">
        <f t="shared" si="96"/>
        <v>0</v>
      </c>
      <c r="AH301" s="1">
        <f t="shared" si="97"/>
        <v>31</v>
      </c>
      <c r="AI301" s="1">
        <f t="shared" si="98"/>
        <v>0</v>
      </c>
      <c r="AJ301" s="3">
        <f t="shared" si="99"/>
        <v>1</v>
      </c>
      <c r="AK301" s="3">
        <f t="shared" si="100"/>
        <v>0.05</v>
      </c>
      <c r="AL301" s="3">
        <f t="shared" si="101"/>
        <v>0.15000000000000002</v>
      </c>
      <c r="AM301" s="3">
        <f t="shared" si="102"/>
        <v>0.15000000000000002</v>
      </c>
      <c r="AN301" s="3">
        <f t="shared" si="103"/>
        <v>0</v>
      </c>
      <c r="AO301" s="3">
        <f t="shared" si="104"/>
        <v>0.15000000000000002</v>
      </c>
      <c r="AP301" s="1" t="str">
        <f>INDEX({"EAD";"EAD";"EAD";"EAD MOOC";"EAD";"EAD";"EAD FP";"EAD";"PRESENCIAL";"PRESENCIAL";"PRESENCIAL";"PRESENCIAL"}, MATCH(CONCATENATE(E301, ".", F301),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02" spans="1:42" x14ac:dyDescent="0.25">
      <c r="A302" s="1" t="s">
        <v>27</v>
      </c>
      <c r="B302" s="1" t="s">
        <v>41</v>
      </c>
      <c r="C302" s="1" t="s">
        <v>29</v>
      </c>
      <c r="D302" s="1" t="s">
        <v>42</v>
      </c>
      <c r="E302" s="1" t="s">
        <v>120</v>
      </c>
      <c r="F302" s="1" t="s">
        <v>21</v>
      </c>
      <c r="G302" s="1" t="s">
        <v>161</v>
      </c>
      <c r="H302" s="1" t="s">
        <v>451</v>
      </c>
      <c r="I302" s="1" t="s">
        <v>449</v>
      </c>
      <c r="J302" s="1" t="s">
        <v>125</v>
      </c>
      <c r="K302" s="1" t="s">
        <v>109</v>
      </c>
      <c r="L302" s="1">
        <v>3154651</v>
      </c>
      <c r="M302" s="1" t="s">
        <v>490</v>
      </c>
      <c r="N302" s="5">
        <f>DATE(2024,8,1)</f>
        <v>45505</v>
      </c>
      <c r="O302" s="5">
        <f>DATE(2024,11,30)</f>
        <v>45626</v>
      </c>
      <c r="P302" s="5">
        <f t="shared" si="85"/>
        <v>45626</v>
      </c>
      <c r="Q302" s="1">
        <v>200</v>
      </c>
      <c r="R302" s="1">
        <v>160</v>
      </c>
      <c r="S302" s="1">
        <f t="shared" si="86"/>
        <v>200</v>
      </c>
      <c r="T302" s="1">
        <v>1</v>
      </c>
      <c r="U302" s="1" t="str">
        <f t="shared" si="87"/>
        <v>SIM</v>
      </c>
      <c r="V302" s="1">
        <f t="shared" si="88"/>
        <v>122</v>
      </c>
      <c r="W302" s="4">
        <f t="shared" si="89"/>
        <v>1.639344262295082</v>
      </c>
      <c r="X302" s="4">
        <f t="shared" si="90"/>
        <v>200</v>
      </c>
      <c r="Y302" s="4">
        <f t="shared" si="91"/>
        <v>0.25</v>
      </c>
      <c r="AB302" s="5">
        <f t="shared" si="92"/>
        <v>45292</v>
      </c>
      <c r="AC302" s="5">
        <f t="shared" si="93"/>
        <v>45657</v>
      </c>
      <c r="AD302" s="1">
        <v>29</v>
      </c>
      <c r="AE302" s="1">
        <f t="shared" si="94"/>
        <v>0</v>
      </c>
      <c r="AF302" s="1">
        <f t="shared" si="95"/>
        <v>0</v>
      </c>
      <c r="AG302" s="1">
        <f t="shared" si="96"/>
        <v>0</v>
      </c>
      <c r="AH302" s="1">
        <f t="shared" si="97"/>
        <v>122</v>
      </c>
      <c r="AI302" s="1">
        <f t="shared" si="98"/>
        <v>0</v>
      </c>
      <c r="AJ302" s="3">
        <f t="shared" si="99"/>
        <v>1</v>
      </c>
      <c r="AK302" s="3">
        <f t="shared" si="100"/>
        <v>0.25</v>
      </c>
      <c r="AL302" s="3">
        <f t="shared" si="101"/>
        <v>7.25</v>
      </c>
      <c r="AM302" s="3">
        <f t="shared" si="102"/>
        <v>7.25</v>
      </c>
      <c r="AN302" s="3">
        <f t="shared" si="103"/>
        <v>0</v>
      </c>
      <c r="AO302" s="3">
        <f t="shared" si="104"/>
        <v>7.25</v>
      </c>
      <c r="AP302" s="1" t="str">
        <f>INDEX({"EAD";"EAD";"EAD";"EAD MOOC";"EAD";"EAD";"EAD FP";"EAD";"PRESENCIAL";"PRESENCIAL";"PRESENCIAL";"PRESENCIAL"}, MATCH(CONCATENATE(E302, ".", F302),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03" spans="1:42" x14ac:dyDescent="0.25">
      <c r="A303" s="1" t="s">
        <v>27</v>
      </c>
      <c r="B303" s="1" t="s">
        <v>41</v>
      </c>
      <c r="C303" s="1" t="s">
        <v>29</v>
      </c>
      <c r="D303" s="1" t="s">
        <v>42</v>
      </c>
      <c r="E303" s="1" t="s">
        <v>120</v>
      </c>
      <c r="F303" s="1" t="s">
        <v>21</v>
      </c>
      <c r="G303" s="1" t="s">
        <v>161</v>
      </c>
      <c r="H303" s="1" t="s">
        <v>491</v>
      </c>
      <c r="I303" s="1" t="s">
        <v>107</v>
      </c>
      <c r="J303" s="1" t="s">
        <v>125</v>
      </c>
      <c r="K303" s="1" t="s">
        <v>109</v>
      </c>
      <c r="L303" s="1">
        <v>3153694</v>
      </c>
      <c r="M303" s="1" t="s">
        <v>492</v>
      </c>
      <c r="N303" s="5">
        <f>DATE(2024,8,21)</f>
        <v>45525</v>
      </c>
      <c r="O303" s="5">
        <f>DATE(2024,11,27)</f>
        <v>45623</v>
      </c>
      <c r="P303" s="5">
        <f t="shared" si="85"/>
        <v>45623</v>
      </c>
      <c r="Q303" s="1">
        <v>200</v>
      </c>
      <c r="R303" s="1">
        <v>200</v>
      </c>
      <c r="S303" s="1">
        <f t="shared" si="86"/>
        <v>200</v>
      </c>
      <c r="T303" s="1">
        <v>1</v>
      </c>
      <c r="U303" s="1" t="str">
        <f t="shared" si="87"/>
        <v>SIM</v>
      </c>
      <c r="V303" s="1">
        <f t="shared" si="88"/>
        <v>99</v>
      </c>
      <c r="W303" s="4">
        <f t="shared" si="89"/>
        <v>2.0202020202020203</v>
      </c>
      <c r="X303" s="4">
        <f t="shared" si="90"/>
        <v>200</v>
      </c>
      <c r="Y303" s="4">
        <f t="shared" si="91"/>
        <v>0.25</v>
      </c>
      <c r="AB303" s="5">
        <f t="shared" si="92"/>
        <v>45292</v>
      </c>
      <c r="AC303" s="5">
        <f t="shared" si="93"/>
        <v>45657</v>
      </c>
      <c r="AD303" s="1">
        <v>35</v>
      </c>
      <c r="AE303" s="1">
        <f t="shared" si="94"/>
        <v>0</v>
      </c>
      <c r="AF303" s="1">
        <f t="shared" si="95"/>
        <v>0</v>
      </c>
      <c r="AG303" s="1">
        <f t="shared" si="96"/>
        <v>0</v>
      </c>
      <c r="AH303" s="1">
        <f t="shared" si="97"/>
        <v>99</v>
      </c>
      <c r="AI303" s="1">
        <f t="shared" si="98"/>
        <v>0</v>
      </c>
      <c r="AJ303" s="3">
        <f t="shared" si="99"/>
        <v>1</v>
      </c>
      <c r="AK303" s="3">
        <f t="shared" si="100"/>
        <v>0.25</v>
      </c>
      <c r="AL303" s="3">
        <f t="shared" si="101"/>
        <v>8.75</v>
      </c>
      <c r="AM303" s="3">
        <f t="shared" si="102"/>
        <v>8.75</v>
      </c>
      <c r="AN303" s="3">
        <f t="shared" si="103"/>
        <v>0</v>
      </c>
      <c r="AO303" s="3">
        <f t="shared" si="104"/>
        <v>8.75</v>
      </c>
      <c r="AP303" s="1" t="str">
        <f>INDEX({"EAD";"EAD";"EAD";"EAD MOOC";"EAD";"EAD";"EAD FP";"EAD";"PRESENCIAL";"PRESENCIAL";"PRESENCIAL";"PRESENCIAL"}, MATCH(CONCATENATE(E303, ".", F303),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04" spans="1:42" x14ac:dyDescent="0.25">
      <c r="A304" s="1" t="s">
        <v>27</v>
      </c>
      <c r="B304" s="1" t="s">
        <v>41</v>
      </c>
      <c r="C304" s="1" t="s">
        <v>29</v>
      </c>
      <c r="D304" s="1" t="s">
        <v>42</v>
      </c>
      <c r="E304" s="1" t="s">
        <v>120</v>
      </c>
      <c r="F304" s="1" t="s">
        <v>21</v>
      </c>
      <c r="G304" s="1" t="s">
        <v>161</v>
      </c>
      <c r="H304" s="1" t="s">
        <v>493</v>
      </c>
      <c r="I304" s="1" t="s">
        <v>172</v>
      </c>
      <c r="J304" s="1" t="s">
        <v>125</v>
      </c>
      <c r="K304" s="1" t="s">
        <v>109</v>
      </c>
      <c r="L304" s="1">
        <v>3166808</v>
      </c>
      <c r="M304" s="1" t="s">
        <v>494</v>
      </c>
      <c r="N304" s="5">
        <f>DATE(2024,9,1)</f>
        <v>45536</v>
      </c>
      <c r="O304" s="5">
        <f>DATE(2024,11,20)</f>
        <v>45616</v>
      </c>
      <c r="P304" s="5">
        <f t="shared" si="85"/>
        <v>45616</v>
      </c>
      <c r="Q304" s="1">
        <v>44</v>
      </c>
      <c r="R304" s="1">
        <v>160</v>
      </c>
      <c r="S304" s="1">
        <f t="shared" si="86"/>
        <v>44</v>
      </c>
      <c r="T304" s="1">
        <v>1</v>
      </c>
      <c r="U304" s="1" t="str">
        <f t="shared" si="87"/>
        <v>SIM</v>
      </c>
      <c r="V304" s="1">
        <f t="shared" si="88"/>
        <v>81</v>
      </c>
      <c r="W304" s="4">
        <f t="shared" si="89"/>
        <v>0.54320987654320985</v>
      </c>
      <c r="X304" s="4">
        <f t="shared" si="90"/>
        <v>44</v>
      </c>
      <c r="Y304" s="4">
        <f t="shared" si="91"/>
        <v>5.5E-2</v>
      </c>
      <c r="AB304" s="5">
        <f t="shared" si="92"/>
        <v>45292</v>
      </c>
      <c r="AC304" s="5">
        <f t="shared" si="93"/>
        <v>45657</v>
      </c>
      <c r="AD304" s="1">
        <v>2</v>
      </c>
      <c r="AE304" s="1">
        <f t="shared" si="94"/>
        <v>0</v>
      </c>
      <c r="AF304" s="1">
        <f t="shared" si="95"/>
        <v>0</v>
      </c>
      <c r="AG304" s="1">
        <f t="shared" si="96"/>
        <v>0</v>
      </c>
      <c r="AH304" s="1">
        <f t="shared" si="97"/>
        <v>81</v>
      </c>
      <c r="AI304" s="1">
        <f t="shared" si="98"/>
        <v>0</v>
      </c>
      <c r="AJ304" s="3">
        <f t="shared" si="99"/>
        <v>1</v>
      </c>
      <c r="AK304" s="3">
        <f t="shared" si="100"/>
        <v>5.5E-2</v>
      </c>
      <c r="AL304" s="3">
        <f t="shared" si="101"/>
        <v>0.11</v>
      </c>
      <c r="AM304" s="3">
        <f t="shared" si="102"/>
        <v>0.11</v>
      </c>
      <c r="AN304" s="3">
        <f t="shared" si="103"/>
        <v>0</v>
      </c>
      <c r="AO304" s="3">
        <f t="shared" si="104"/>
        <v>0.11</v>
      </c>
      <c r="AP304" s="1" t="str">
        <f>INDEX({"EAD";"EAD";"EAD";"EAD MOOC";"EAD";"EAD";"EAD FP";"EAD";"PRESENCIAL";"PRESENCIAL";"PRESENCIAL";"PRESENCIAL"}, MATCH(CONCATENATE(E304, ".", F304),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05" spans="1:42" x14ac:dyDescent="0.25">
      <c r="A305" s="1" t="s">
        <v>27</v>
      </c>
      <c r="B305" s="1" t="s">
        <v>43</v>
      </c>
      <c r="C305" s="1" t="s">
        <v>29</v>
      </c>
      <c r="D305" s="1" t="s">
        <v>44</v>
      </c>
      <c r="E305" s="1" t="s">
        <v>120</v>
      </c>
      <c r="F305" s="1" t="s">
        <v>21</v>
      </c>
      <c r="G305" s="1" t="s">
        <v>121</v>
      </c>
      <c r="H305" s="1" t="s">
        <v>495</v>
      </c>
      <c r="I305" s="1" t="s">
        <v>124</v>
      </c>
      <c r="J305" s="1" t="s">
        <v>125</v>
      </c>
      <c r="K305" s="1" t="s">
        <v>109</v>
      </c>
      <c r="L305" s="1">
        <v>810692</v>
      </c>
      <c r="M305" s="1" t="s">
        <v>496</v>
      </c>
      <c r="N305" s="5">
        <f>DATE(2011,7,26)</f>
        <v>40750</v>
      </c>
      <c r="O305" s="5">
        <f>DATE(2014,6,20)</f>
        <v>41810</v>
      </c>
      <c r="P305" s="5">
        <f t="shared" si="85"/>
        <v>42905</v>
      </c>
      <c r="Q305" s="1">
        <v>3593</v>
      </c>
      <c r="R305" s="1">
        <v>2400</v>
      </c>
      <c r="S305" s="1">
        <f t="shared" si="86"/>
        <v>2400</v>
      </c>
      <c r="T305" s="1">
        <v>1</v>
      </c>
      <c r="U305" s="1" t="str">
        <f t="shared" si="87"/>
        <v>NÃO</v>
      </c>
      <c r="V305" s="1">
        <f t="shared" si="88"/>
        <v>1061</v>
      </c>
      <c r="W305" s="4">
        <f t="shared" si="89"/>
        <v>2.2620169651272386</v>
      </c>
      <c r="X305" s="4">
        <f t="shared" si="90"/>
        <v>825.63619227144204</v>
      </c>
      <c r="Y305" s="4">
        <f t="shared" si="91"/>
        <v>1.0320452403393026</v>
      </c>
      <c r="AB305" s="5">
        <f t="shared" si="92"/>
        <v>45292</v>
      </c>
      <c r="AC305" s="5">
        <f t="shared" si="93"/>
        <v>45657</v>
      </c>
      <c r="AE305" s="1">
        <f t="shared" si="94"/>
        <v>0</v>
      </c>
      <c r="AF305" s="1">
        <f t="shared" si="95"/>
        <v>0</v>
      </c>
      <c r="AG305" s="1">
        <f t="shared" si="96"/>
        <v>0</v>
      </c>
      <c r="AH305" s="1">
        <f t="shared" si="97"/>
        <v>0</v>
      </c>
      <c r="AI305" s="1">
        <f t="shared" si="98"/>
        <v>183</v>
      </c>
      <c r="AJ305" s="3">
        <f t="shared" si="99"/>
        <v>0.5</v>
      </c>
      <c r="AK305" s="3">
        <f t="shared" si="100"/>
        <v>0.51602262016965128</v>
      </c>
      <c r="AL305" s="3">
        <f t="shared" si="101"/>
        <v>0</v>
      </c>
      <c r="AM305" s="3">
        <f t="shared" si="102"/>
        <v>0</v>
      </c>
      <c r="AN305" s="3">
        <f t="shared" si="103"/>
        <v>0</v>
      </c>
      <c r="AO305" s="3">
        <f t="shared" si="104"/>
        <v>0</v>
      </c>
      <c r="AP305" s="1" t="str">
        <f>INDEX({"EAD";"EAD";"EAD";"EAD MOOC";"EAD";"EAD";"EAD FP";"EAD";"PRESENCIAL";"PRESENCIAL";"PRESENCIAL";"PRESENCIAL"}, MATCH(CONCATENATE(E305, ".", F305),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06" spans="1:42" x14ac:dyDescent="0.25">
      <c r="A306" s="1" t="s">
        <v>27</v>
      </c>
      <c r="B306" s="1" t="s">
        <v>43</v>
      </c>
      <c r="C306" s="1" t="s">
        <v>29</v>
      </c>
      <c r="D306" s="1" t="s">
        <v>44</v>
      </c>
      <c r="E306" s="1" t="s">
        <v>120</v>
      </c>
      <c r="F306" s="1" t="s">
        <v>21</v>
      </c>
      <c r="G306" s="1" t="s">
        <v>121</v>
      </c>
      <c r="H306" s="1" t="s">
        <v>495</v>
      </c>
      <c r="I306" s="1" t="s">
        <v>124</v>
      </c>
      <c r="J306" s="1" t="s">
        <v>125</v>
      </c>
      <c r="K306" s="1" t="s">
        <v>109</v>
      </c>
      <c r="L306" s="1">
        <v>1234371</v>
      </c>
      <c r="M306" s="1" t="s">
        <v>497</v>
      </c>
      <c r="N306" s="5">
        <f>DATE(2012,4,9)</f>
        <v>41008</v>
      </c>
      <c r="O306" s="5">
        <f>DATE(2014,12,23)</f>
        <v>41996</v>
      </c>
      <c r="P306" s="5">
        <f t="shared" si="85"/>
        <v>43091</v>
      </c>
      <c r="Q306" s="1">
        <v>2593</v>
      </c>
      <c r="R306" s="1">
        <v>2400</v>
      </c>
      <c r="S306" s="1">
        <f t="shared" si="86"/>
        <v>2400</v>
      </c>
      <c r="T306" s="1">
        <v>1</v>
      </c>
      <c r="U306" s="1" t="str">
        <f t="shared" si="87"/>
        <v>NÃO</v>
      </c>
      <c r="V306" s="1">
        <f t="shared" si="88"/>
        <v>989</v>
      </c>
      <c r="W306" s="4">
        <f t="shared" si="89"/>
        <v>2.4266936299292214</v>
      </c>
      <c r="X306" s="4">
        <f t="shared" si="90"/>
        <v>885.74317492416583</v>
      </c>
      <c r="Y306" s="4">
        <f t="shared" si="91"/>
        <v>1.1071789686552074</v>
      </c>
      <c r="AB306" s="5">
        <f t="shared" si="92"/>
        <v>45292</v>
      </c>
      <c r="AC306" s="5">
        <f t="shared" si="93"/>
        <v>45657</v>
      </c>
      <c r="AD306" s="1">
        <v>1</v>
      </c>
      <c r="AE306" s="1">
        <f t="shared" si="94"/>
        <v>0</v>
      </c>
      <c r="AF306" s="1">
        <f t="shared" si="95"/>
        <v>0</v>
      </c>
      <c r="AG306" s="1">
        <f t="shared" si="96"/>
        <v>0</v>
      </c>
      <c r="AH306" s="1">
        <f t="shared" si="97"/>
        <v>0</v>
      </c>
      <c r="AI306" s="1">
        <f t="shared" si="98"/>
        <v>183</v>
      </c>
      <c r="AJ306" s="3">
        <f t="shared" si="99"/>
        <v>0.5</v>
      </c>
      <c r="AK306" s="3">
        <f t="shared" si="100"/>
        <v>0.55358948432760369</v>
      </c>
      <c r="AL306" s="3">
        <f t="shared" si="101"/>
        <v>0</v>
      </c>
      <c r="AM306" s="3">
        <f t="shared" si="102"/>
        <v>0</v>
      </c>
      <c r="AN306" s="3">
        <f t="shared" si="103"/>
        <v>0</v>
      </c>
      <c r="AO306" s="3">
        <f t="shared" si="104"/>
        <v>0</v>
      </c>
      <c r="AP306" s="1" t="str">
        <f>INDEX({"EAD";"EAD";"EAD";"EAD MOOC";"EAD";"EAD";"EAD FP";"EAD";"PRESENCIAL";"PRESENCIAL";"PRESENCIAL";"PRESENCIAL"}, MATCH(CONCATENATE(E306, ".", F306),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07" spans="1:42" x14ac:dyDescent="0.25">
      <c r="A307" s="1" t="s">
        <v>27</v>
      </c>
      <c r="B307" s="1" t="s">
        <v>43</v>
      </c>
      <c r="C307" s="1" t="s">
        <v>29</v>
      </c>
      <c r="D307" s="1" t="s">
        <v>44</v>
      </c>
      <c r="E307" s="1" t="s">
        <v>120</v>
      </c>
      <c r="F307" s="1" t="s">
        <v>21</v>
      </c>
      <c r="G307" s="1" t="s">
        <v>140</v>
      </c>
      <c r="H307" s="1" t="s">
        <v>498</v>
      </c>
      <c r="I307" s="1" t="s">
        <v>289</v>
      </c>
      <c r="J307" s="1" t="s">
        <v>125</v>
      </c>
      <c r="K307" s="1" t="s">
        <v>109</v>
      </c>
      <c r="L307" s="1">
        <v>1252004</v>
      </c>
      <c r="M307" s="1" t="s">
        <v>499</v>
      </c>
      <c r="N307" s="5">
        <f>DATE(2012,4,9)</f>
        <v>41008</v>
      </c>
      <c r="O307" s="5">
        <f>DATE(2014,12,23)</f>
        <v>41996</v>
      </c>
      <c r="P307" s="5">
        <f t="shared" si="85"/>
        <v>43091</v>
      </c>
      <c r="Q307" s="1">
        <v>2416</v>
      </c>
      <c r="R307" s="1">
        <v>2400</v>
      </c>
      <c r="S307" s="1">
        <f t="shared" si="86"/>
        <v>2400</v>
      </c>
      <c r="T307" s="1">
        <v>2.5</v>
      </c>
      <c r="U307" s="1" t="str">
        <f t="shared" si="87"/>
        <v>NÃO</v>
      </c>
      <c r="V307" s="1">
        <f t="shared" si="88"/>
        <v>989</v>
      </c>
      <c r="W307" s="4">
        <f t="shared" si="89"/>
        <v>2.4266936299292214</v>
      </c>
      <c r="X307" s="4">
        <f t="shared" si="90"/>
        <v>885.74317492416583</v>
      </c>
      <c r="Y307" s="4">
        <f t="shared" si="91"/>
        <v>1.1071789686552074</v>
      </c>
      <c r="AB307" s="5">
        <f t="shared" si="92"/>
        <v>45292</v>
      </c>
      <c r="AC307" s="5">
        <f t="shared" si="93"/>
        <v>45657</v>
      </c>
      <c r="AE307" s="1">
        <f t="shared" si="94"/>
        <v>0</v>
      </c>
      <c r="AF307" s="1">
        <f t="shared" si="95"/>
        <v>0</v>
      </c>
      <c r="AG307" s="1">
        <f t="shared" si="96"/>
        <v>0</v>
      </c>
      <c r="AH307" s="1">
        <f t="shared" si="97"/>
        <v>0</v>
      </c>
      <c r="AI307" s="1">
        <f t="shared" si="98"/>
        <v>183</v>
      </c>
      <c r="AJ307" s="3">
        <f t="shared" si="99"/>
        <v>0.5</v>
      </c>
      <c r="AK307" s="3">
        <f t="shared" si="100"/>
        <v>0.55358948432760369</v>
      </c>
      <c r="AL307" s="3">
        <f t="shared" si="101"/>
        <v>0</v>
      </c>
      <c r="AM307" s="3">
        <f t="shared" si="102"/>
        <v>0</v>
      </c>
      <c r="AN307" s="3">
        <f t="shared" si="103"/>
        <v>0</v>
      </c>
      <c r="AO307" s="3">
        <f t="shared" si="104"/>
        <v>0</v>
      </c>
      <c r="AP307" s="1" t="str">
        <f>INDEX({"EAD";"EAD";"EAD";"EAD MOOC";"EAD";"EAD";"EAD FP";"EAD";"PRESENCIAL";"PRESENCIAL";"PRESENCIAL";"PRESENCIAL"}, MATCH(CONCATENATE(E307, ".", F307),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08" spans="1:42" x14ac:dyDescent="0.25">
      <c r="A308" s="1" t="s">
        <v>27</v>
      </c>
      <c r="B308" s="1" t="s">
        <v>43</v>
      </c>
      <c r="C308" s="1" t="s">
        <v>29</v>
      </c>
      <c r="D308" s="1" t="s">
        <v>44</v>
      </c>
      <c r="E308" s="1" t="s">
        <v>120</v>
      </c>
      <c r="F308" s="1" t="s">
        <v>21</v>
      </c>
      <c r="G308" s="1" t="s">
        <v>140</v>
      </c>
      <c r="H308" s="1" t="s">
        <v>500</v>
      </c>
      <c r="I308" s="1" t="s">
        <v>209</v>
      </c>
      <c r="J308" s="1" t="s">
        <v>125</v>
      </c>
      <c r="K308" s="1" t="s">
        <v>109</v>
      </c>
      <c r="L308" s="1">
        <v>1252008</v>
      </c>
      <c r="M308" s="1" t="s">
        <v>501</v>
      </c>
      <c r="N308" s="5">
        <f>DATE(2012,4,9)</f>
        <v>41008</v>
      </c>
      <c r="O308" s="5">
        <f>DATE(2014,12,23)</f>
        <v>41996</v>
      </c>
      <c r="P308" s="5">
        <f t="shared" si="85"/>
        <v>43091</v>
      </c>
      <c r="Q308" s="1">
        <v>2280</v>
      </c>
      <c r="R308" s="1">
        <v>2000</v>
      </c>
      <c r="S308" s="1">
        <f t="shared" si="86"/>
        <v>2000</v>
      </c>
      <c r="T308" s="1">
        <v>1</v>
      </c>
      <c r="U308" s="1" t="str">
        <f t="shared" si="87"/>
        <v>NÃO</v>
      </c>
      <c r="V308" s="1">
        <f t="shared" si="88"/>
        <v>989</v>
      </c>
      <c r="W308" s="4">
        <f t="shared" si="89"/>
        <v>2.0222446916076846</v>
      </c>
      <c r="X308" s="4">
        <f t="shared" si="90"/>
        <v>738.11931243680488</v>
      </c>
      <c r="Y308" s="4">
        <f t="shared" si="91"/>
        <v>0.92264914054600611</v>
      </c>
      <c r="AB308" s="5">
        <f t="shared" si="92"/>
        <v>45292</v>
      </c>
      <c r="AC308" s="5">
        <f t="shared" si="93"/>
        <v>45657</v>
      </c>
      <c r="AD308" s="1">
        <v>10</v>
      </c>
      <c r="AE308" s="1">
        <f t="shared" si="94"/>
        <v>0</v>
      </c>
      <c r="AF308" s="1">
        <f t="shared" si="95"/>
        <v>0</v>
      </c>
      <c r="AG308" s="1">
        <f t="shared" si="96"/>
        <v>0</v>
      </c>
      <c r="AH308" s="1">
        <f t="shared" si="97"/>
        <v>0</v>
      </c>
      <c r="AI308" s="1">
        <f t="shared" si="98"/>
        <v>183</v>
      </c>
      <c r="AJ308" s="3">
        <f t="shared" si="99"/>
        <v>0.5</v>
      </c>
      <c r="AK308" s="3">
        <f t="shared" si="100"/>
        <v>0.46132457027300305</v>
      </c>
      <c r="AL308" s="3">
        <f t="shared" si="101"/>
        <v>0</v>
      </c>
      <c r="AM308" s="3">
        <f t="shared" si="102"/>
        <v>0</v>
      </c>
      <c r="AN308" s="3">
        <f t="shared" si="103"/>
        <v>0</v>
      </c>
      <c r="AO308" s="3">
        <f t="shared" si="104"/>
        <v>0</v>
      </c>
      <c r="AP308" s="1" t="str">
        <f>INDEX({"EAD";"EAD";"EAD";"EAD MOOC";"EAD";"EAD";"EAD FP";"EAD";"PRESENCIAL";"PRESENCIAL";"PRESENCIAL";"PRESENCIAL"}, MATCH(CONCATENATE(E308, ".", F308),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09" spans="1:42" x14ac:dyDescent="0.25">
      <c r="A309" s="1" t="s">
        <v>27</v>
      </c>
      <c r="B309" s="1" t="s">
        <v>43</v>
      </c>
      <c r="C309" s="1" t="s">
        <v>29</v>
      </c>
      <c r="D309" s="1" t="s">
        <v>44</v>
      </c>
      <c r="E309" s="1" t="s">
        <v>120</v>
      </c>
      <c r="F309" s="1" t="s">
        <v>21</v>
      </c>
      <c r="G309" s="1" t="s">
        <v>140</v>
      </c>
      <c r="H309" s="1" t="s">
        <v>502</v>
      </c>
      <c r="I309" s="1" t="s">
        <v>503</v>
      </c>
      <c r="J309" s="1" t="s">
        <v>125</v>
      </c>
      <c r="K309" s="1" t="s">
        <v>109</v>
      </c>
      <c r="L309" s="1">
        <v>1339167</v>
      </c>
      <c r="M309" s="1" t="s">
        <v>504</v>
      </c>
      <c r="N309" s="5">
        <f>DATE(2012,9,10)</f>
        <v>41162</v>
      </c>
      <c r="O309" s="5">
        <f>DATE(2015,12,23)</f>
        <v>42361</v>
      </c>
      <c r="P309" s="5">
        <f t="shared" si="85"/>
        <v>43456</v>
      </c>
      <c r="Q309" s="1">
        <v>2406</v>
      </c>
      <c r="R309" s="1">
        <v>2400</v>
      </c>
      <c r="S309" s="1">
        <f t="shared" si="86"/>
        <v>2400</v>
      </c>
      <c r="T309" s="1">
        <v>2.5</v>
      </c>
      <c r="U309" s="1" t="str">
        <f t="shared" si="87"/>
        <v>NÃO</v>
      </c>
      <c r="V309" s="1">
        <f t="shared" si="88"/>
        <v>1200</v>
      </c>
      <c r="W309" s="4">
        <f t="shared" si="89"/>
        <v>2</v>
      </c>
      <c r="X309" s="4">
        <f t="shared" si="90"/>
        <v>730</v>
      </c>
      <c r="Y309" s="4">
        <f t="shared" si="91"/>
        <v>0.91249999999999998</v>
      </c>
      <c r="AB309" s="5">
        <f t="shared" si="92"/>
        <v>45292</v>
      </c>
      <c r="AC309" s="5">
        <f t="shared" si="93"/>
        <v>45657</v>
      </c>
      <c r="AE309" s="1">
        <f t="shared" si="94"/>
        <v>0</v>
      </c>
      <c r="AF309" s="1">
        <f t="shared" si="95"/>
        <v>0</v>
      </c>
      <c r="AG309" s="1">
        <f t="shared" si="96"/>
        <v>0</v>
      </c>
      <c r="AH309" s="1">
        <f t="shared" si="97"/>
        <v>0</v>
      </c>
      <c r="AI309" s="1">
        <f t="shared" si="98"/>
        <v>183</v>
      </c>
      <c r="AJ309" s="3">
        <f t="shared" si="99"/>
        <v>0.5</v>
      </c>
      <c r="AK309" s="3">
        <f t="shared" si="100"/>
        <v>0.45624999999999999</v>
      </c>
      <c r="AL309" s="3">
        <f t="shared" si="101"/>
        <v>0</v>
      </c>
      <c r="AM309" s="3">
        <f t="shared" si="102"/>
        <v>0</v>
      </c>
      <c r="AN309" s="3">
        <f t="shared" si="103"/>
        <v>0</v>
      </c>
      <c r="AO309" s="3">
        <f t="shared" si="104"/>
        <v>0</v>
      </c>
      <c r="AP309" s="1" t="str">
        <f>INDEX({"EAD";"EAD";"EAD";"EAD MOOC";"EAD";"EAD";"EAD FP";"EAD";"PRESENCIAL";"PRESENCIAL";"PRESENCIAL";"PRESENCIAL"}, MATCH(CONCATENATE(E309, ".", F309),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10" spans="1:42" x14ac:dyDescent="0.25">
      <c r="A310" s="1" t="s">
        <v>27</v>
      </c>
      <c r="B310" s="1" t="s">
        <v>43</v>
      </c>
      <c r="C310" s="1" t="s">
        <v>29</v>
      </c>
      <c r="D310" s="1" t="s">
        <v>44</v>
      </c>
      <c r="E310" s="1" t="s">
        <v>120</v>
      </c>
      <c r="F310" s="1" t="s">
        <v>21</v>
      </c>
      <c r="G310" s="1" t="s">
        <v>140</v>
      </c>
      <c r="H310" s="1" t="s">
        <v>500</v>
      </c>
      <c r="I310" s="1" t="s">
        <v>209</v>
      </c>
      <c r="J310" s="1" t="s">
        <v>125</v>
      </c>
      <c r="K310" s="1" t="s">
        <v>109</v>
      </c>
      <c r="L310" s="1">
        <v>1345302</v>
      </c>
      <c r="M310" s="1" t="s">
        <v>505</v>
      </c>
      <c r="N310" s="5">
        <f>DATE(2012,9,10)</f>
        <v>41162</v>
      </c>
      <c r="O310" s="5">
        <f>DATE(2015,8,7)</f>
        <v>42223</v>
      </c>
      <c r="P310" s="5">
        <f t="shared" si="85"/>
        <v>43318</v>
      </c>
      <c r="Q310" s="1">
        <v>2280</v>
      </c>
      <c r="R310" s="1">
        <v>2000</v>
      </c>
      <c r="S310" s="1">
        <f t="shared" si="86"/>
        <v>2000</v>
      </c>
      <c r="T310" s="1">
        <v>1</v>
      </c>
      <c r="U310" s="1" t="str">
        <f t="shared" si="87"/>
        <v>NÃO</v>
      </c>
      <c r="V310" s="1">
        <f t="shared" si="88"/>
        <v>1062</v>
      </c>
      <c r="W310" s="4">
        <f t="shared" si="89"/>
        <v>1.8832391713747645</v>
      </c>
      <c r="X310" s="4">
        <f t="shared" si="90"/>
        <v>687.38229755178907</v>
      </c>
      <c r="Y310" s="4">
        <f t="shared" si="91"/>
        <v>0.85922787193973638</v>
      </c>
      <c r="AB310" s="5">
        <f t="shared" si="92"/>
        <v>45292</v>
      </c>
      <c r="AC310" s="5">
        <f t="shared" si="93"/>
        <v>45657</v>
      </c>
      <c r="AD310" s="1">
        <v>6</v>
      </c>
      <c r="AE310" s="1">
        <f t="shared" si="94"/>
        <v>0</v>
      </c>
      <c r="AF310" s="1">
        <f t="shared" si="95"/>
        <v>0</v>
      </c>
      <c r="AG310" s="1">
        <f t="shared" si="96"/>
        <v>0</v>
      </c>
      <c r="AH310" s="1">
        <f t="shared" si="97"/>
        <v>0</v>
      </c>
      <c r="AI310" s="1">
        <f t="shared" si="98"/>
        <v>183</v>
      </c>
      <c r="AJ310" s="3">
        <f t="shared" si="99"/>
        <v>0.5</v>
      </c>
      <c r="AK310" s="3">
        <f t="shared" si="100"/>
        <v>0.42961393596986819</v>
      </c>
      <c r="AL310" s="3">
        <f t="shared" si="101"/>
        <v>0</v>
      </c>
      <c r="AM310" s="3">
        <f t="shared" si="102"/>
        <v>0</v>
      </c>
      <c r="AN310" s="3">
        <f t="shared" si="103"/>
        <v>0</v>
      </c>
      <c r="AO310" s="3">
        <f t="shared" si="104"/>
        <v>0</v>
      </c>
      <c r="AP310" s="1" t="str">
        <f>INDEX({"EAD";"EAD";"EAD";"EAD MOOC";"EAD";"EAD";"EAD FP";"EAD";"PRESENCIAL";"PRESENCIAL";"PRESENCIAL";"PRESENCIAL"}, MATCH(CONCATENATE(E310, ".", F310),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11" spans="1:42" x14ac:dyDescent="0.25">
      <c r="A311" s="1" t="s">
        <v>27</v>
      </c>
      <c r="B311" s="1" t="s">
        <v>43</v>
      </c>
      <c r="C311" s="1" t="s">
        <v>29</v>
      </c>
      <c r="D311" s="1" t="s">
        <v>44</v>
      </c>
      <c r="E311" s="1" t="s">
        <v>120</v>
      </c>
      <c r="F311" s="1" t="s">
        <v>21</v>
      </c>
      <c r="G311" s="1" t="s">
        <v>121</v>
      </c>
      <c r="H311" s="1" t="s">
        <v>506</v>
      </c>
      <c r="I311" s="1" t="s">
        <v>209</v>
      </c>
      <c r="J311" s="1" t="s">
        <v>125</v>
      </c>
      <c r="K311" s="1" t="s">
        <v>109</v>
      </c>
      <c r="L311" s="1">
        <v>1345333</v>
      </c>
      <c r="M311" s="1" t="s">
        <v>507</v>
      </c>
      <c r="N311" s="5">
        <f>DATE(2012,9,10)</f>
        <v>41162</v>
      </c>
      <c r="O311" s="5">
        <f>DATE(2017,7,28)</f>
        <v>42944</v>
      </c>
      <c r="P311" s="5">
        <f t="shared" si="85"/>
        <v>44039</v>
      </c>
      <c r="Q311" s="1">
        <v>4280</v>
      </c>
      <c r="R311" s="1">
        <v>3200</v>
      </c>
      <c r="S311" s="1">
        <f t="shared" si="86"/>
        <v>3200</v>
      </c>
      <c r="T311" s="1">
        <v>2.5</v>
      </c>
      <c r="U311" s="1" t="str">
        <f t="shared" si="87"/>
        <v>NÃO</v>
      </c>
      <c r="V311" s="1">
        <f t="shared" si="88"/>
        <v>1783</v>
      </c>
      <c r="W311" s="4">
        <f t="shared" si="89"/>
        <v>1.79472798653954</v>
      </c>
      <c r="X311" s="4">
        <f t="shared" si="90"/>
        <v>655.07571508693206</v>
      </c>
      <c r="Y311" s="4">
        <f t="shared" si="91"/>
        <v>0.81884464385866507</v>
      </c>
      <c r="AB311" s="5">
        <f t="shared" si="92"/>
        <v>45292</v>
      </c>
      <c r="AC311" s="5">
        <f t="shared" si="93"/>
        <v>45657</v>
      </c>
      <c r="AD311" s="1">
        <v>4</v>
      </c>
      <c r="AE311" s="1">
        <f t="shared" si="94"/>
        <v>0</v>
      </c>
      <c r="AF311" s="1">
        <f t="shared" si="95"/>
        <v>0</v>
      </c>
      <c r="AG311" s="1">
        <f t="shared" si="96"/>
        <v>0</v>
      </c>
      <c r="AH311" s="1">
        <f t="shared" si="97"/>
        <v>0</v>
      </c>
      <c r="AI311" s="1">
        <f t="shared" si="98"/>
        <v>183</v>
      </c>
      <c r="AJ311" s="3">
        <f t="shared" si="99"/>
        <v>0.5</v>
      </c>
      <c r="AK311" s="3">
        <f t="shared" si="100"/>
        <v>0.40942232192933253</v>
      </c>
      <c r="AL311" s="3">
        <f t="shared" si="101"/>
        <v>0</v>
      </c>
      <c r="AM311" s="3">
        <f t="shared" si="102"/>
        <v>0</v>
      </c>
      <c r="AN311" s="3">
        <f t="shared" si="103"/>
        <v>0</v>
      </c>
      <c r="AO311" s="3">
        <f t="shared" si="104"/>
        <v>0</v>
      </c>
      <c r="AP311" s="1" t="str">
        <f>INDEX({"EAD";"EAD";"EAD";"EAD MOOC";"EAD";"EAD";"EAD FP";"EAD";"PRESENCIAL";"PRESENCIAL";"PRESENCIAL";"PRESENCIAL"}, MATCH(CONCATENATE(E311, ".", F311),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12" spans="1:42" x14ac:dyDescent="0.25">
      <c r="A312" s="1" t="s">
        <v>27</v>
      </c>
      <c r="B312" s="1" t="s">
        <v>43</v>
      </c>
      <c r="C312" s="1" t="s">
        <v>29</v>
      </c>
      <c r="D312" s="1" t="s">
        <v>44</v>
      </c>
      <c r="E312" s="1" t="s">
        <v>120</v>
      </c>
      <c r="F312" s="1" t="s">
        <v>21</v>
      </c>
      <c r="G312" s="1" t="s">
        <v>121</v>
      </c>
      <c r="H312" s="1" t="s">
        <v>508</v>
      </c>
      <c r="I312" s="1" t="s">
        <v>503</v>
      </c>
      <c r="J312" s="1" t="s">
        <v>125</v>
      </c>
      <c r="K312" s="1" t="s">
        <v>109</v>
      </c>
      <c r="L312" s="1">
        <v>1345336</v>
      </c>
      <c r="M312" s="1" t="s">
        <v>509</v>
      </c>
      <c r="N312" s="5">
        <f>DATE(2012,9,10)</f>
        <v>41162</v>
      </c>
      <c r="O312" s="5">
        <f>DATE(2017,7,28)</f>
        <v>42944</v>
      </c>
      <c r="P312" s="5">
        <f t="shared" si="85"/>
        <v>44039</v>
      </c>
      <c r="Q312" s="1">
        <v>4430</v>
      </c>
      <c r="R312" s="1">
        <v>3600</v>
      </c>
      <c r="S312" s="1">
        <f t="shared" si="86"/>
        <v>3600</v>
      </c>
      <c r="T312" s="1">
        <v>2.5</v>
      </c>
      <c r="U312" s="1" t="str">
        <f t="shared" si="87"/>
        <v>NÃO</v>
      </c>
      <c r="V312" s="1">
        <f t="shared" si="88"/>
        <v>1783</v>
      </c>
      <c r="W312" s="4">
        <f t="shared" si="89"/>
        <v>2.0190689848569825</v>
      </c>
      <c r="X312" s="4">
        <f t="shared" si="90"/>
        <v>736.96017947279859</v>
      </c>
      <c r="Y312" s="4">
        <f t="shared" si="91"/>
        <v>0.92120022434099824</v>
      </c>
      <c r="AB312" s="5">
        <f t="shared" si="92"/>
        <v>45292</v>
      </c>
      <c r="AC312" s="5">
        <f t="shared" si="93"/>
        <v>45657</v>
      </c>
      <c r="AD312" s="1">
        <v>3</v>
      </c>
      <c r="AE312" s="1">
        <f t="shared" si="94"/>
        <v>0</v>
      </c>
      <c r="AF312" s="1">
        <f t="shared" si="95"/>
        <v>0</v>
      </c>
      <c r="AG312" s="1">
        <f t="shared" si="96"/>
        <v>0</v>
      </c>
      <c r="AH312" s="1">
        <f t="shared" si="97"/>
        <v>0</v>
      </c>
      <c r="AI312" s="1">
        <f t="shared" si="98"/>
        <v>183</v>
      </c>
      <c r="AJ312" s="3">
        <f t="shared" si="99"/>
        <v>0.5</v>
      </c>
      <c r="AK312" s="3">
        <f t="shared" si="100"/>
        <v>0.46060011217049912</v>
      </c>
      <c r="AL312" s="3">
        <f t="shared" si="101"/>
        <v>0</v>
      </c>
      <c r="AM312" s="3">
        <f t="shared" si="102"/>
        <v>0</v>
      </c>
      <c r="AN312" s="3">
        <f t="shared" si="103"/>
        <v>0</v>
      </c>
      <c r="AO312" s="3">
        <f t="shared" si="104"/>
        <v>0</v>
      </c>
      <c r="AP312" s="1" t="str">
        <f>INDEX({"EAD";"EAD";"EAD";"EAD MOOC";"EAD";"EAD";"EAD FP";"EAD";"PRESENCIAL";"PRESENCIAL";"PRESENCIAL";"PRESENCIAL"}, MATCH(CONCATENATE(E312, ".", F312),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13" spans="1:42" x14ac:dyDescent="0.25">
      <c r="A313" s="1" t="s">
        <v>27</v>
      </c>
      <c r="B313" s="1" t="s">
        <v>43</v>
      </c>
      <c r="C313" s="1" t="s">
        <v>29</v>
      </c>
      <c r="D313" s="1" t="s">
        <v>44</v>
      </c>
      <c r="E313" s="1" t="s">
        <v>170</v>
      </c>
      <c r="F313" s="1" t="s">
        <v>510</v>
      </c>
      <c r="G313" s="1" t="s">
        <v>140</v>
      </c>
      <c r="H313" s="1" t="s">
        <v>500</v>
      </c>
      <c r="I313" s="1" t="s">
        <v>209</v>
      </c>
      <c r="J313" s="1" t="s">
        <v>125</v>
      </c>
      <c r="K313" s="1" t="s">
        <v>109</v>
      </c>
      <c r="L313" s="1">
        <v>1359280</v>
      </c>
      <c r="M313" s="1" t="s">
        <v>511</v>
      </c>
      <c r="N313" s="5">
        <f>DATE(2012,10,15)</f>
        <v>41197</v>
      </c>
      <c r="O313" s="5">
        <f>DATE(2015,8,14)</f>
        <v>42230</v>
      </c>
      <c r="P313" s="5">
        <f t="shared" si="85"/>
        <v>43325</v>
      </c>
      <c r="Q313" s="1">
        <v>2280</v>
      </c>
      <c r="R313" s="1">
        <v>2000</v>
      </c>
      <c r="S313" s="1">
        <f t="shared" si="86"/>
        <v>2000</v>
      </c>
      <c r="T313" s="1">
        <v>1</v>
      </c>
      <c r="U313" s="1" t="str">
        <f t="shared" si="87"/>
        <v>NÃO</v>
      </c>
      <c r="V313" s="1">
        <f t="shared" si="88"/>
        <v>1034</v>
      </c>
      <c r="W313" s="4">
        <f t="shared" si="89"/>
        <v>1.9342359767891684</v>
      </c>
      <c r="X313" s="4">
        <f t="shared" si="90"/>
        <v>705.99613152804648</v>
      </c>
      <c r="Y313" s="4">
        <f t="shared" si="91"/>
        <v>0.88249516441005804</v>
      </c>
      <c r="AB313" s="5">
        <f t="shared" si="92"/>
        <v>45292</v>
      </c>
      <c r="AC313" s="5">
        <f t="shared" si="93"/>
        <v>45657</v>
      </c>
      <c r="AD313" s="1">
        <v>26</v>
      </c>
      <c r="AE313" s="1">
        <f t="shared" si="94"/>
        <v>0</v>
      </c>
      <c r="AF313" s="1">
        <f t="shared" si="95"/>
        <v>0</v>
      </c>
      <c r="AG313" s="1">
        <f t="shared" si="96"/>
        <v>0</v>
      </c>
      <c r="AH313" s="1">
        <f t="shared" si="97"/>
        <v>0</v>
      </c>
      <c r="AI313" s="1">
        <f t="shared" si="98"/>
        <v>183</v>
      </c>
      <c r="AJ313" s="3">
        <f t="shared" si="99"/>
        <v>0.5</v>
      </c>
      <c r="AK313" s="3">
        <f t="shared" si="100"/>
        <v>0.44124758220502902</v>
      </c>
      <c r="AL313" s="3">
        <f t="shared" si="101"/>
        <v>0</v>
      </c>
      <c r="AM313" s="3">
        <f t="shared" si="102"/>
        <v>0</v>
      </c>
      <c r="AN313" s="3">
        <f t="shared" si="103"/>
        <v>0</v>
      </c>
      <c r="AO313" s="3">
        <f t="shared" si="104"/>
        <v>0</v>
      </c>
      <c r="AP313" s="1" t="str">
        <f>INDEX({"EAD";"EAD";"EAD";"EAD MOOC";"EAD";"EAD";"EAD FP";"EAD";"PRESENCIAL";"PRESENCIAL";"PRESENCIAL";"PRESENCIAL"}, MATCH(CONCATENATE(E313, ".", F313),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314" spans="1:42" x14ac:dyDescent="0.25">
      <c r="A314" s="1" t="s">
        <v>27</v>
      </c>
      <c r="B314" s="1" t="s">
        <v>43</v>
      </c>
      <c r="C314" s="1" t="s">
        <v>29</v>
      </c>
      <c r="D314" s="1" t="s">
        <v>44</v>
      </c>
      <c r="E314" s="1" t="s">
        <v>120</v>
      </c>
      <c r="F314" s="1" t="s">
        <v>21</v>
      </c>
      <c r="G314" s="1" t="s">
        <v>121</v>
      </c>
      <c r="H314" s="1" t="s">
        <v>506</v>
      </c>
      <c r="I314" s="1" t="s">
        <v>209</v>
      </c>
      <c r="J314" s="1" t="s">
        <v>125</v>
      </c>
      <c r="K314" s="1" t="s">
        <v>109</v>
      </c>
      <c r="L314" s="1">
        <v>1780147</v>
      </c>
      <c r="M314" s="1" t="s">
        <v>512</v>
      </c>
      <c r="N314" s="5">
        <f>DATE(2013,5,23)</f>
        <v>41417</v>
      </c>
      <c r="O314" s="5">
        <f>DATE(2017,12,22)</f>
        <v>43091</v>
      </c>
      <c r="P314" s="5">
        <f t="shared" si="85"/>
        <v>44186</v>
      </c>
      <c r="Q314" s="1">
        <v>4475</v>
      </c>
      <c r="R314" s="1">
        <v>3200</v>
      </c>
      <c r="S314" s="1">
        <f t="shared" si="86"/>
        <v>3200</v>
      </c>
      <c r="T314" s="1">
        <v>2.5</v>
      </c>
      <c r="U314" s="1" t="str">
        <f t="shared" si="87"/>
        <v>NÃO</v>
      </c>
      <c r="V314" s="1">
        <f t="shared" si="88"/>
        <v>1675</v>
      </c>
      <c r="W314" s="4">
        <f t="shared" si="89"/>
        <v>1.9104477611940298</v>
      </c>
      <c r="X314" s="4">
        <f t="shared" si="90"/>
        <v>697.31343283582089</v>
      </c>
      <c r="Y314" s="4">
        <f t="shared" si="91"/>
        <v>0.87164179104477613</v>
      </c>
      <c r="AB314" s="5">
        <f t="shared" si="92"/>
        <v>45292</v>
      </c>
      <c r="AC314" s="5">
        <f t="shared" si="93"/>
        <v>45657</v>
      </c>
      <c r="AD314" s="1">
        <v>5</v>
      </c>
      <c r="AE314" s="1">
        <f t="shared" si="94"/>
        <v>0</v>
      </c>
      <c r="AF314" s="1">
        <f t="shared" si="95"/>
        <v>0</v>
      </c>
      <c r="AG314" s="1">
        <f t="shared" si="96"/>
        <v>0</v>
      </c>
      <c r="AH314" s="1">
        <f t="shared" si="97"/>
        <v>0</v>
      </c>
      <c r="AI314" s="1">
        <f t="shared" si="98"/>
        <v>183</v>
      </c>
      <c r="AJ314" s="3">
        <f t="shared" si="99"/>
        <v>0.5</v>
      </c>
      <c r="AK314" s="3">
        <f t="shared" si="100"/>
        <v>0.43582089552238806</v>
      </c>
      <c r="AL314" s="3">
        <f t="shared" si="101"/>
        <v>0</v>
      </c>
      <c r="AM314" s="3">
        <f t="shared" si="102"/>
        <v>0</v>
      </c>
      <c r="AN314" s="3">
        <f t="shared" si="103"/>
        <v>0</v>
      </c>
      <c r="AO314" s="3">
        <f t="shared" si="104"/>
        <v>0</v>
      </c>
      <c r="AP314" s="1" t="str">
        <f>INDEX({"EAD";"EAD";"EAD";"EAD MOOC";"EAD";"EAD";"EAD FP";"EAD";"PRESENCIAL";"PRESENCIAL";"PRESENCIAL";"PRESENCIAL"}, MATCH(CONCATENATE(E314, ".", F314),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15" spans="1:42" x14ac:dyDescent="0.25">
      <c r="A315" s="1" t="s">
        <v>27</v>
      </c>
      <c r="B315" s="1" t="s">
        <v>43</v>
      </c>
      <c r="C315" s="1" t="s">
        <v>29</v>
      </c>
      <c r="D315" s="1" t="s">
        <v>44</v>
      </c>
      <c r="E315" s="1" t="s">
        <v>120</v>
      </c>
      <c r="F315" s="1" t="s">
        <v>21</v>
      </c>
      <c r="G315" s="1" t="s">
        <v>121</v>
      </c>
      <c r="H315" s="1" t="s">
        <v>508</v>
      </c>
      <c r="I315" s="1" t="s">
        <v>503</v>
      </c>
      <c r="J315" s="1" t="s">
        <v>125</v>
      </c>
      <c r="K315" s="1" t="s">
        <v>109</v>
      </c>
      <c r="L315" s="1">
        <v>1780148</v>
      </c>
      <c r="M315" s="1" t="s">
        <v>513</v>
      </c>
      <c r="N315" s="5">
        <f>DATE(2013,5,23)</f>
        <v>41417</v>
      </c>
      <c r="O315" s="5">
        <f>DATE(2017,12,22)</f>
        <v>43091</v>
      </c>
      <c r="P315" s="5">
        <f t="shared" si="85"/>
        <v>44186</v>
      </c>
      <c r="Q315" s="1">
        <v>4790</v>
      </c>
      <c r="R315" s="1">
        <v>3600</v>
      </c>
      <c r="S315" s="1">
        <f t="shared" si="86"/>
        <v>3600</v>
      </c>
      <c r="T315" s="1">
        <v>2.5</v>
      </c>
      <c r="U315" s="1" t="str">
        <f t="shared" si="87"/>
        <v>NÃO</v>
      </c>
      <c r="V315" s="1">
        <f t="shared" si="88"/>
        <v>1675</v>
      </c>
      <c r="W315" s="4">
        <f t="shared" si="89"/>
        <v>2.1492537313432836</v>
      </c>
      <c r="X315" s="4">
        <f t="shared" si="90"/>
        <v>784.47761194029852</v>
      </c>
      <c r="Y315" s="4">
        <f t="shared" si="91"/>
        <v>0.9805970149253731</v>
      </c>
      <c r="AB315" s="5">
        <f t="shared" si="92"/>
        <v>45292</v>
      </c>
      <c r="AC315" s="5">
        <f t="shared" si="93"/>
        <v>45657</v>
      </c>
      <c r="AD315" s="1">
        <v>4</v>
      </c>
      <c r="AE315" s="1">
        <f t="shared" si="94"/>
        <v>0</v>
      </c>
      <c r="AF315" s="1">
        <f t="shared" si="95"/>
        <v>0</v>
      </c>
      <c r="AG315" s="1">
        <f t="shared" si="96"/>
        <v>0</v>
      </c>
      <c r="AH315" s="1">
        <f t="shared" si="97"/>
        <v>0</v>
      </c>
      <c r="AI315" s="1">
        <f t="shared" si="98"/>
        <v>183</v>
      </c>
      <c r="AJ315" s="3">
        <f t="shared" si="99"/>
        <v>0.5</v>
      </c>
      <c r="AK315" s="3">
        <f t="shared" si="100"/>
        <v>0.49029850746268655</v>
      </c>
      <c r="AL315" s="3">
        <f t="shared" si="101"/>
        <v>0</v>
      </c>
      <c r="AM315" s="3">
        <f t="shared" si="102"/>
        <v>0</v>
      </c>
      <c r="AN315" s="3">
        <f t="shared" si="103"/>
        <v>0</v>
      </c>
      <c r="AO315" s="3">
        <f t="shared" si="104"/>
        <v>0</v>
      </c>
      <c r="AP315" s="1" t="str">
        <f>INDEX({"EAD";"EAD";"EAD";"EAD MOOC";"EAD";"EAD";"EAD FP";"EAD";"PRESENCIAL";"PRESENCIAL";"PRESENCIAL";"PRESENCIAL"}, MATCH(CONCATENATE(E315, ".", F315),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16" spans="1:42" x14ac:dyDescent="0.25">
      <c r="A316" s="1" t="s">
        <v>27</v>
      </c>
      <c r="B316" s="1" t="s">
        <v>43</v>
      </c>
      <c r="C316" s="1" t="s">
        <v>29</v>
      </c>
      <c r="D316" s="1" t="s">
        <v>44</v>
      </c>
      <c r="E316" s="1" t="s">
        <v>120</v>
      </c>
      <c r="F316" s="1" t="s">
        <v>21</v>
      </c>
      <c r="G316" s="1" t="s">
        <v>140</v>
      </c>
      <c r="H316" s="1" t="s">
        <v>498</v>
      </c>
      <c r="I316" s="1" t="s">
        <v>289</v>
      </c>
      <c r="J316" s="1" t="s">
        <v>125</v>
      </c>
      <c r="K316" s="1" t="s">
        <v>109</v>
      </c>
      <c r="L316" s="1">
        <v>1780155</v>
      </c>
      <c r="M316" s="1" t="s">
        <v>514</v>
      </c>
      <c r="N316" s="5">
        <f>DATE(2013,5,23)</f>
        <v>41417</v>
      </c>
      <c r="O316" s="5">
        <f>DATE(2015,12,23)</f>
        <v>42361</v>
      </c>
      <c r="P316" s="5">
        <f t="shared" si="85"/>
        <v>43456</v>
      </c>
      <c r="Q316" s="1">
        <v>2416</v>
      </c>
      <c r="R316" s="1">
        <v>2400</v>
      </c>
      <c r="S316" s="1">
        <f t="shared" si="86"/>
        <v>2400</v>
      </c>
      <c r="T316" s="1">
        <v>2.5</v>
      </c>
      <c r="U316" s="1" t="str">
        <f t="shared" si="87"/>
        <v>NÃO</v>
      </c>
      <c r="V316" s="1">
        <f t="shared" si="88"/>
        <v>945</v>
      </c>
      <c r="W316" s="4">
        <f t="shared" si="89"/>
        <v>2.5396825396825395</v>
      </c>
      <c r="X316" s="4">
        <f t="shared" si="90"/>
        <v>926.98412698412699</v>
      </c>
      <c r="Y316" s="4">
        <f t="shared" si="91"/>
        <v>1.1587301587301588</v>
      </c>
      <c r="AB316" s="5">
        <f t="shared" si="92"/>
        <v>45292</v>
      </c>
      <c r="AC316" s="5">
        <f t="shared" si="93"/>
        <v>45657</v>
      </c>
      <c r="AD316" s="1">
        <v>1</v>
      </c>
      <c r="AE316" s="1">
        <f t="shared" si="94"/>
        <v>0</v>
      </c>
      <c r="AF316" s="1">
        <f t="shared" si="95"/>
        <v>0</v>
      </c>
      <c r="AG316" s="1">
        <f t="shared" si="96"/>
        <v>0</v>
      </c>
      <c r="AH316" s="1">
        <f t="shared" si="97"/>
        <v>0</v>
      </c>
      <c r="AI316" s="1">
        <f t="shared" si="98"/>
        <v>183</v>
      </c>
      <c r="AJ316" s="3">
        <f t="shared" si="99"/>
        <v>0.5</v>
      </c>
      <c r="AK316" s="3">
        <f t="shared" si="100"/>
        <v>0.57936507936507942</v>
      </c>
      <c r="AL316" s="3">
        <f t="shared" si="101"/>
        <v>0</v>
      </c>
      <c r="AM316" s="3">
        <f t="shared" si="102"/>
        <v>0</v>
      </c>
      <c r="AN316" s="3">
        <f t="shared" si="103"/>
        <v>0</v>
      </c>
      <c r="AO316" s="3">
        <f t="shared" si="104"/>
        <v>0</v>
      </c>
      <c r="AP316" s="1" t="str">
        <f>INDEX({"EAD";"EAD";"EAD";"EAD MOOC";"EAD";"EAD";"EAD FP";"EAD";"PRESENCIAL";"PRESENCIAL";"PRESENCIAL";"PRESENCIAL"}, MATCH(CONCATENATE(E316, ".", F316),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17" spans="1:42" x14ac:dyDescent="0.25">
      <c r="A317" s="1" t="s">
        <v>27</v>
      </c>
      <c r="B317" s="1" t="s">
        <v>43</v>
      </c>
      <c r="C317" s="1" t="s">
        <v>29</v>
      </c>
      <c r="D317" s="1" t="s">
        <v>44</v>
      </c>
      <c r="E317" s="1" t="s">
        <v>120</v>
      </c>
      <c r="F317" s="1" t="s">
        <v>21</v>
      </c>
      <c r="G317" s="1" t="s">
        <v>140</v>
      </c>
      <c r="H317" s="1" t="s">
        <v>500</v>
      </c>
      <c r="I317" s="1" t="s">
        <v>209</v>
      </c>
      <c r="J317" s="1" t="s">
        <v>125</v>
      </c>
      <c r="K317" s="1" t="s">
        <v>109</v>
      </c>
      <c r="L317" s="1">
        <v>1780166</v>
      </c>
      <c r="M317" s="1" t="s">
        <v>515</v>
      </c>
      <c r="N317" s="5">
        <f>DATE(2013,5,23)</f>
        <v>41417</v>
      </c>
      <c r="O317" s="5">
        <f>DATE(2015,12,23)</f>
        <v>42361</v>
      </c>
      <c r="P317" s="5">
        <f t="shared" si="85"/>
        <v>43456</v>
      </c>
      <c r="Q317" s="1">
        <v>2280</v>
      </c>
      <c r="R317" s="1">
        <v>2000</v>
      </c>
      <c r="S317" s="1">
        <f t="shared" si="86"/>
        <v>2000</v>
      </c>
      <c r="T317" s="1">
        <v>1</v>
      </c>
      <c r="U317" s="1" t="str">
        <f t="shared" si="87"/>
        <v>NÃO</v>
      </c>
      <c r="V317" s="1">
        <f t="shared" si="88"/>
        <v>945</v>
      </c>
      <c r="W317" s="4">
        <f t="shared" si="89"/>
        <v>2.1164021164021163</v>
      </c>
      <c r="X317" s="4">
        <f t="shared" si="90"/>
        <v>772.48677248677245</v>
      </c>
      <c r="Y317" s="4">
        <f t="shared" si="91"/>
        <v>0.96560846560846558</v>
      </c>
      <c r="AB317" s="5">
        <f t="shared" si="92"/>
        <v>45292</v>
      </c>
      <c r="AC317" s="5">
        <f t="shared" si="93"/>
        <v>45657</v>
      </c>
      <c r="AD317" s="1">
        <v>3</v>
      </c>
      <c r="AE317" s="1">
        <f t="shared" si="94"/>
        <v>0</v>
      </c>
      <c r="AF317" s="1">
        <f t="shared" si="95"/>
        <v>0</v>
      </c>
      <c r="AG317" s="1">
        <f t="shared" si="96"/>
        <v>0</v>
      </c>
      <c r="AH317" s="1">
        <f t="shared" si="97"/>
        <v>0</v>
      </c>
      <c r="AI317" s="1">
        <f t="shared" si="98"/>
        <v>183</v>
      </c>
      <c r="AJ317" s="3">
        <f t="shared" si="99"/>
        <v>0.5</v>
      </c>
      <c r="AK317" s="3">
        <f t="shared" si="100"/>
        <v>0.48280423280423279</v>
      </c>
      <c r="AL317" s="3">
        <f t="shared" si="101"/>
        <v>0</v>
      </c>
      <c r="AM317" s="3">
        <f t="shared" si="102"/>
        <v>0</v>
      </c>
      <c r="AN317" s="3">
        <f t="shared" si="103"/>
        <v>0</v>
      </c>
      <c r="AO317" s="3">
        <f t="shared" si="104"/>
        <v>0</v>
      </c>
      <c r="AP317" s="1" t="str">
        <f>INDEX({"EAD";"EAD";"EAD";"EAD MOOC";"EAD";"EAD";"EAD FP";"EAD";"PRESENCIAL";"PRESENCIAL";"PRESENCIAL";"PRESENCIAL"}, MATCH(CONCATENATE(E317, ".", F317),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18" spans="1:42" x14ac:dyDescent="0.25">
      <c r="A318" s="1" t="s">
        <v>27</v>
      </c>
      <c r="B318" s="1" t="s">
        <v>43</v>
      </c>
      <c r="C318" s="1" t="s">
        <v>29</v>
      </c>
      <c r="D318" s="1" t="s">
        <v>44</v>
      </c>
      <c r="E318" s="1" t="s">
        <v>120</v>
      </c>
      <c r="F318" s="1" t="s">
        <v>21</v>
      </c>
      <c r="G318" s="1" t="s">
        <v>121</v>
      </c>
      <c r="H318" s="1" t="s">
        <v>506</v>
      </c>
      <c r="I318" s="1" t="s">
        <v>209</v>
      </c>
      <c r="J318" s="1" t="s">
        <v>125</v>
      </c>
      <c r="K318" s="1" t="s">
        <v>109</v>
      </c>
      <c r="L318" s="1">
        <v>1842008</v>
      </c>
      <c r="M318" s="1" t="s">
        <v>516</v>
      </c>
      <c r="N318" s="5">
        <f>DATE(2013,10,1)</f>
        <v>41548</v>
      </c>
      <c r="O318" s="5">
        <f>DATE(2018,7,30)</f>
        <v>43311</v>
      </c>
      <c r="P318" s="5">
        <f t="shared" si="85"/>
        <v>44406</v>
      </c>
      <c r="Q318" s="1">
        <v>4475</v>
      </c>
      <c r="R318" s="1">
        <v>3200</v>
      </c>
      <c r="S318" s="1">
        <f t="shared" si="86"/>
        <v>3200</v>
      </c>
      <c r="T318" s="1">
        <v>2.5</v>
      </c>
      <c r="U318" s="1" t="str">
        <f t="shared" si="87"/>
        <v>NÃO</v>
      </c>
      <c r="V318" s="1">
        <f t="shared" si="88"/>
        <v>1764</v>
      </c>
      <c r="W318" s="4">
        <f t="shared" si="89"/>
        <v>1.8140589569160999</v>
      </c>
      <c r="X318" s="4">
        <f t="shared" si="90"/>
        <v>662.1315192743765</v>
      </c>
      <c r="Y318" s="4">
        <f t="shared" si="91"/>
        <v>0.82766439909297063</v>
      </c>
      <c r="AB318" s="5">
        <f t="shared" si="92"/>
        <v>45292</v>
      </c>
      <c r="AC318" s="5">
        <f t="shared" si="93"/>
        <v>45657</v>
      </c>
      <c r="AD318" s="1">
        <v>2</v>
      </c>
      <c r="AE318" s="1">
        <f t="shared" si="94"/>
        <v>0</v>
      </c>
      <c r="AF318" s="1">
        <f t="shared" si="95"/>
        <v>0</v>
      </c>
      <c r="AG318" s="1">
        <f t="shared" si="96"/>
        <v>0</v>
      </c>
      <c r="AH318" s="1">
        <f t="shared" si="97"/>
        <v>0</v>
      </c>
      <c r="AI318" s="1">
        <f t="shared" si="98"/>
        <v>183</v>
      </c>
      <c r="AJ318" s="3">
        <f t="shared" si="99"/>
        <v>0.5</v>
      </c>
      <c r="AK318" s="3">
        <f t="shared" si="100"/>
        <v>0.41383219954648531</v>
      </c>
      <c r="AL318" s="3">
        <f t="shared" si="101"/>
        <v>0</v>
      </c>
      <c r="AM318" s="3">
        <f t="shared" si="102"/>
        <v>0</v>
      </c>
      <c r="AN318" s="3">
        <f t="shared" si="103"/>
        <v>0</v>
      </c>
      <c r="AO318" s="3">
        <f t="shared" si="104"/>
        <v>0</v>
      </c>
      <c r="AP318" s="1" t="str">
        <f>INDEX({"EAD";"EAD";"EAD";"EAD MOOC";"EAD";"EAD";"EAD FP";"EAD";"PRESENCIAL";"PRESENCIAL";"PRESENCIAL";"PRESENCIAL"}, MATCH(CONCATENATE(E318, ".", F318),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19" spans="1:42" x14ac:dyDescent="0.25">
      <c r="A319" s="1" t="s">
        <v>27</v>
      </c>
      <c r="B319" s="1" t="s">
        <v>43</v>
      </c>
      <c r="C319" s="1" t="s">
        <v>29</v>
      </c>
      <c r="D319" s="1" t="s">
        <v>44</v>
      </c>
      <c r="E319" s="1" t="s">
        <v>120</v>
      </c>
      <c r="F319" s="1" t="s">
        <v>21</v>
      </c>
      <c r="G319" s="1" t="s">
        <v>121</v>
      </c>
      <c r="H319" s="1" t="s">
        <v>508</v>
      </c>
      <c r="I319" s="1" t="s">
        <v>503</v>
      </c>
      <c r="J319" s="1" t="s">
        <v>125</v>
      </c>
      <c r="K319" s="1" t="s">
        <v>109</v>
      </c>
      <c r="L319" s="1">
        <v>1842016</v>
      </c>
      <c r="M319" s="1" t="s">
        <v>517</v>
      </c>
      <c r="N319" s="5">
        <f>DATE(2013,10,1)</f>
        <v>41548</v>
      </c>
      <c r="O319" s="5">
        <f>DATE(2018,7,30)</f>
        <v>43311</v>
      </c>
      <c r="P319" s="5">
        <f t="shared" si="85"/>
        <v>44406</v>
      </c>
      <c r="Q319" s="1">
        <v>4790</v>
      </c>
      <c r="R319" s="1">
        <v>3600</v>
      </c>
      <c r="S319" s="1">
        <f t="shared" si="86"/>
        <v>3600</v>
      </c>
      <c r="T319" s="1">
        <v>2.5</v>
      </c>
      <c r="U319" s="1" t="str">
        <f t="shared" si="87"/>
        <v>NÃO</v>
      </c>
      <c r="V319" s="1">
        <f t="shared" si="88"/>
        <v>1764</v>
      </c>
      <c r="W319" s="4">
        <f t="shared" si="89"/>
        <v>2.0408163265306123</v>
      </c>
      <c r="X319" s="4">
        <f t="shared" si="90"/>
        <v>744.89795918367349</v>
      </c>
      <c r="Y319" s="4">
        <f t="shared" si="91"/>
        <v>0.93112244897959184</v>
      </c>
      <c r="AB319" s="5">
        <f t="shared" si="92"/>
        <v>45292</v>
      </c>
      <c r="AC319" s="5">
        <f t="shared" si="93"/>
        <v>45657</v>
      </c>
      <c r="AD319" s="1">
        <v>1</v>
      </c>
      <c r="AE319" s="1">
        <f t="shared" si="94"/>
        <v>0</v>
      </c>
      <c r="AF319" s="1">
        <f t="shared" si="95"/>
        <v>0</v>
      </c>
      <c r="AG319" s="1">
        <f t="shared" si="96"/>
        <v>0</v>
      </c>
      <c r="AH319" s="1">
        <f t="shared" si="97"/>
        <v>0</v>
      </c>
      <c r="AI319" s="1">
        <f t="shared" si="98"/>
        <v>183</v>
      </c>
      <c r="AJ319" s="3">
        <f t="shared" si="99"/>
        <v>0.5</v>
      </c>
      <c r="AK319" s="3">
        <f t="shared" si="100"/>
        <v>0.46556122448979592</v>
      </c>
      <c r="AL319" s="3">
        <f t="shared" si="101"/>
        <v>0</v>
      </c>
      <c r="AM319" s="3">
        <f t="shared" si="102"/>
        <v>0</v>
      </c>
      <c r="AN319" s="3">
        <f t="shared" si="103"/>
        <v>0</v>
      </c>
      <c r="AO319" s="3">
        <f t="shared" si="104"/>
        <v>0</v>
      </c>
      <c r="AP319" s="1" t="str">
        <f>INDEX({"EAD";"EAD";"EAD";"EAD MOOC";"EAD";"EAD";"EAD FP";"EAD";"PRESENCIAL";"PRESENCIAL";"PRESENCIAL";"PRESENCIAL"}, MATCH(CONCATENATE(E319, ".", F319),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20" spans="1:42" x14ac:dyDescent="0.25">
      <c r="A320" s="1" t="s">
        <v>27</v>
      </c>
      <c r="B320" s="1" t="s">
        <v>43</v>
      </c>
      <c r="C320" s="1" t="s">
        <v>29</v>
      </c>
      <c r="D320" s="1" t="s">
        <v>44</v>
      </c>
      <c r="E320" s="1" t="s">
        <v>120</v>
      </c>
      <c r="F320" s="1" t="s">
        <v>21</v>
      </c>
      <c r="G320" s="1" t="s">
        <v>140</v>
      </c>
      <c r="H320" s="1" t="s">
        <v>502</v>
      </c>
      <c r="I320" s="1" t="s">
        <v>503</v>
      </c>
      <c r="J320" s="1" t="s">
        <v>125</v>
      </c>
      <c r="K320" s="1" t="s">
        <v>109</v>
      </c>
      <c r="L320" s="1">
        <v>1842023</v>
      </c>
      <c r="M320" s="1" t="s">
        <v>518</v>
      </c>
      <c r="N320" s="5">
        <f>DATE(2013,10,1)</f>
        <v>41548</v>
      </c>
      <c r="O320" s="5">
        <f>DATE(2016,12,23)</f>
        <v>42727</v>
      </c>
      <c r="P320" s="5">
        <f t="shared" si="85"/>
        <v>43822</v>
      </c>
      <c r="Q320" s="1">
        <v>2406</v>
      </c>
      <c r="R320" s="1">
        <v>2400</v>
      </c>
      <c r="S320" s="1">
        <f t="shared" si="86"/>
        <v>2400</v>
      </c>
      <c r="T320" s="1">
        <v>2.5</v>
      </c>
      <c r="U320" s="1" t="str">
        <f t="shared" si="87"/>
        <v>NÃO</v>
      </c>
      <c r="V320" s="1">
        <f t="shared" si="88"/>
        <v>1180</v>
      </c>
      <c r="W320" s="4">
        <f t="shared" si="89"/>
        <v>2.0338983050847457</v>
      </c>
      <c r="X320" s="4">
        <f t="shared" si="90"/>
        <v>742.37288135593212</v>
      </c>
      <c r="Y320" s="4">
        <f t="shared" si="91"/>
        <v>0.92796610169491511</v>
      </c>
      <c r="AB320" s="5">
        <f t="shared" si="92"/>
        <v>45292</v>
      </c>
      <c r="AC320" s="5">
        <f t="shared" si="93"/>
        <v>45657</v>
      </c>
      <c r="AD320" s="1">
        <v>1</v>
      </c>
      <c r="AE320" s="1">
        <f t="shared" si="94"/>
        <v>0</v>
      </c>
      <c r="AF320" s="1">
        <f t="shared" si="95"/>
        <v>0</v>
      </c>
      <c r="AG320" s="1">
        <f t="shared" si="96"/>
        <v>0</v>
      </c>
      <c r="AH320" s="1">
        <f t="shared" si="97"/>
        <v>0</v>
      </c>
      <c r="AI320" s="1">
        <f t="shared" si="98"/>
        <v>183</v>
      </c>
      <c r="AJ320" s="3">
        <f t="shared" si="99"/>
        <v>0.5</v>
      </c>
      <c r="AK320" s="3">
        <f t="shared" si="100"/>
        <v>0.46398305084745756</v>
      </c>
      <c r="AL320" s="3">
        <f t="shared" si="101"/>
        <v>0</v>
      </c>
      <c r="AM320" s="3">
        <f t="shared" si="102"/>
        <v>0</v>
      </c>
      <c r="AN320" s="3">
        <f t="shared" si="103"/>
        <v>0</v>
      </c>
      <c r="AO320" s="3">
        <f t="shared" si="104"/>
        <v>0</v>
      </c>
      <c r="AP320" s="1" t="str">
        <f>INDEX({"EAD";"EAD";"EAD";"EAD MOOC";"EAD";"EAD";"EAD FP";"EAD";"PRESENCIAL";"PRESENCIAL";"PRESENCIAL";"PRESENCIAL"}, MATCH(CONCATENATE(E320, ".", F320),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21" spans="1:42" x14ac:dyDescent="0.25">
      <c r="A321" s="1" t="s">
        <v>27</v>
      </c>
      <c r="B321" s="1" t="s">
        <v>43</v>
      </c>
      <c r="C321" s="1" t="s">
        <v>29</v>
      </c>
      <c r="D321" s="1" t="s">
        <v>44</v>
      </c>
      <c r="E321" s="1" t="s">
        <v>120</v>
      </c>
      <c r="F321" s="1" t="s">
        <v>21</v>
      </c>
      <c r="G321" s="1" t="s">
        <v>140</v>
      </c>
      <c r="H321" s="1" t="s">
        <v>500</v>
      </c>
      <c r="I321" s="1" t="s">
        <v>209</v>
      </c>
      <c r="J321" s="1" t="s">
        <v>125</v>
      </c>
      <c r="K321" s="1" t="s">
        <v>109</v>
      </c>
      <c r="L321" s="1">
        <v>1842031</v>
      </c>
      <c r="M321" s="1" t="s">
        <v>519</v>
      </c>
      <c r="N321" s="5">
        <f>DATE(2013,10,1)</f>
        <v>41548</v>
      </c>
      <c r="O321" s="5">
        <f>DATE(2016,7,29)</f>
        <v>42580</v>
      </c>
      <c r="P321" s="5">
        <f t="shared" si="85"/>
        <v>43675</v>
      </c>
      <c r="Q321" s="1">
        <v>2280</v>
      </c>
      <c r="R321" s="1">
        <v>2000</v>
      </c>
      <c r="S321" s="1">
        <f t="shared" si="86"/>
        <v>2000</v>
      </c>
      <c r="T321" s="1">
        <v>1</v>
      </c>
      <c r="U321" s="1" t="str">
        <f t="shared" si="87"/>
        <v>NÃO</v>
      </c>
      <c r="V321" s="1">
        <f t="shared" si="88"/>
        <v>1033</v>
      </c>
      <c r="W321" s="4">
        <f t="shared" si="89"/>
        <v>1.936108422071636</v>
      </c>
      <c r="X321" s="4">
        <f t="shared" si="90"/>
        <v>706.6795740561472</v>
      </c>
      <c r="Y321" s="4">
        <f t="shared" si="91"/>
        <v>0.88334946757018395</v>
      </c>
      <c r="AB321" s="5">
        <f t="shared" si="92"/>
        <v>45292</v>
      </c>
      <c r="AC321" s="5">
        <f t="shared" si="93"/>
        <v>45657</v>
      </c>
      <c r="AD321" s="1">
        <v>1</v>
      </c>
      <c r="AE321" s="1">
        <f t="shared" si="94"/>
        <v>0</v>
      </c>
      <c r="AF321" s="1">
        <f t="shared" si="95"/>
        <v>0</v>
      </c>
      <c r="AG321" s="1">
        <f t="shared" si="96"/>
        <v>0</v>
      </c>
      <c r="AH321" s="1">
        <f t="shared" si="97"/>
        <v>0</v>
      </c>
      <c r="AI321" s="1">
        <f t="shared" si="98"/>
        <v>183</v>
      </c>
      <c r="AJ321" s="3">
        <f t="shared" si="99"/>
        <v>0.5</v>
      </c>
      <c r="AK321" s="3">
        <f t="shared" si="100"/>
        <v>0.44167473378509198</v>
      </c>
      <c r="AL321" s="3">
        <f t="shared" si="101"/>
        <v>0</v>
      </c>
      <c r="AM321" s="3">
        <f t="shared" si="102"/>
        <v>0</v>
      </c>
      <c r="AN321" s="3">
        <f t="shared" si="103"/>
        <v>0</v>
      </c>
      <c r="AO321" s="3">
        <f t="shared" si="104"/>
        <v>0</v>
      </c>
      <c r="AP321" s="1" t="str">
        <f>INDEX({"EAD";"EAD";"EAD";"EAD MOOC";"EAD";"EAD";"EAD FP";"EAD";"PRESENCIAL";"PRESENCIAL";"PRESENCIAL";"PRESENCIAL"}, MATCH(CONCATENATE(E321, ".", F321),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22" spans="1:42" x14ac:dyDescent="0.25">
      <c r="A322" s="1" t="s">
        <v>27</v>
      </c>
      <c r="B322" s="1" t="s">
        <v>43</v>
      </c>
      <c r="C322" s="1" t="s">
        <v>29</v>
      </c>
      <c r="D322" s="1" t="s">
        <v>44</v>
      </c>
      <c r="E322" s="1" t="s">
        <v>170</v>
      </c>
      <c r="F322" s="1" t="s">
        <v>510</v>
      </c>
      <c r="G322" s="1" t="s">
        <v>140</v>
      </c>
      <c r="H322" s="1" t="s">
        <v>500</v>
      </c>
      <c r="I322" s="1" t="s">
        <v>209</v>
      </c>
      <c r="J322" s="1" t="s">
        <v>125</v>
      </c>
      <c r="K322" s="1" t="s">
        <v>109</v>
      </c>
      <c r="L322" s="1">
        <v>1950304</v>
      </c>
      <c r="M322" s="1" t="s">
        <v>520</v>
      </c>
      <c r="N322" s="5">
        <f>DATE(2013,12,1)</f>
        <v>41609</v>
      </c>
      <c r="O322" s="5">
        <f>DATE(2016,12,23)</f>
        <v>42727</v>
      </c>
      <c r="P322" s="5">
        <f t="shared" si="85"/>
        <v>43822</v>
      </c>
      <c r="Q322" s="1">
        <v>2340</v>
      </c>
      <c r="R322" s="1">
        <v>2000</v>
      </c>
      <c r="S322" s="1">
        <f t="shared" si="86"/>
        <v>2000</v>
      </c>
      <c r="T322" s="1">
        <v>1</v>
      </c>
      <c r="U322" s="1" t="str">
        <f t="shared" si="87"/>
        <v>NÃO</v>
      </c>
      <c r="V322" s="1">
        <f t="shared" si="88"/>
        <v>1119</v>
      </c>
      <c r="W322" s="4">
        <f t="shared" si="89"/>
        <v>1.7873100983020553</v>
      </c>
      <c r="X322" s="4">
        <f t="shared" si="90"/>
        <v>652.36818588025017</v>
      </c>
      <c r="Y322" s="4">
        <f t="shared" si="91"/>
        <v>0.81546023235031273</v>
      </c>
      <c r="AB322" s="5">
        <f t="shared" si="92"/>
        <v>45292</v>
      </c>
      <c r="AC322" s="5">
        <f t="shared" si="93"/>
        <v>45657</v>
      </c>
      <c r="AD322" s="1">
        <v>19</v>
      </c>
      <c r="AE322" s="1">
        <f t="shared" si="94"/>
        <v>0</v>
      </c>
      <c r="AF322" s="1">
        <f t="shared" si="95"/>
        <v>0</v>
      </c>
      <c r="AG322" s="1">
        <f t="shared" si="96"/>
        <v>0</v>
      </c>
      <c r="AH322" s="1">
        <f t="shared" si="97"/>
        <v>0</v>
      </c>
      <c r="AI322" s="1">
        <f t="shared" si="98"/>
        <v>183</v>
      </c>
      <c r="AJ322" s="3">
        <f t="shared" si="99"/>
        <v>0.5</v>
      </c>
      <c r="AK322" s="3">
        <f t="shared" si="100"/>
        <v>0.40773011617515637</v>
      </c>
      <c r="AL322" s="3">
        <f t="shared" si="101"/>
        <v>0</v>
      </c>
      <c r="AM322" s="3">
        <f t="shared" si="102"/>
        <v>0</v>
      </c>
      <c r="AN322" s="3">
        <f t="shared" si="103"/>
        <v>0</v>
      </c>
      <c r="AO322" s="3">
        <f t="shared" si="104"/>
        <v>0</v>
      </c>
      <c r="AP322" s="1" t="str">
        <f>INDEX({"EAD";"EAD";"EAD";"EAD MOOC";"EAD";"EAD";"EAD FP";"EAD";"PRESENCIAL";"PRESENCIAL";"PRESENCIAL";"PRESENCIAL"}, MATCH(CONCATENATE(E322, ".", F322),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323" spans="1:42" x14ac:dyDescent="0.25">
      <c r="A323" s="1" t="s">
        <v>27</v>
      </c>
      <c r="B323" s="1" t="s">
        <v>43</v>
      </c>
      <c r="C323" s="1" t="s">
        <v>29</v>
      </c>
      <c r="D323" s="1" t="s">
        <v>44</v>
      </c>
      <c r="E323" s="1" t="s">
        <v>120</v>
      </c>
      <c r="F323" s="1" t="s">
        <v>21</v>
      </c>
      <c r="G323" s="1" t="s">
        <v>121</v>
      </c>
      <c r="H323" s="1" t="s">
        <v>506</v>
      </c>
      <c r="I323" s="1" t="s">
        <v>209</v>
      </c>
      <c r="J323" s="1" t="s">
        <v>125</v>
      </c>
      <c r="K323" s="1" t="s">
        <v>109</v>
      </c>
      <c r="L323" s="1">
        <v>1939214</v>
      </c>
      <c r="M323" s="1" t="s">
        <v>521</v>
      </c>
      <c r="N323" s="5">
        <f t="shared" ref="N323:N328" si="108">DATE(2014,4,3)</f>
        <v>41732</v>
      </c>
      <c r="O323" s="5">
        <f>DATE(2018,12,22)</f>
        <v>43456</v>
      </c>
      <c r="P323" s="5">
        <f t="shared" si="85"/>
        <v>44551</v>
      </c>
      <c r="Q323" s="1">
        <v>4475</v>
      </c>
      <c r="R323" s="1">
        <v>3200</v>
      </c>
      <c r="S323" s="1">
        <f t="shared" si="86"/>
        <v>3200</v>
      </c>
      <c r="T323" s="1">
        <v>2.5</v>
      </c>
      <c r="U323" s="1" t="str">
        <f t="shared" si="87"/>
        <v>NÃO</v>
      </c>
      <c r="V323" s="1">
        <f t="shared" si="88"/>
        <v>1725</v>
      </c>
      <c r="W323" s="4">
        <f t="shared" si="89"/>
        <v>1.855072463768116</v>
      </c>
      <c r="X323" s="4">
        <f t="shared" si="90"/>
        <v>677.10144927536237</v>
      </c>
      <c r="Y323" s="4">
        <f t="shared" si="91"/>
        <v>0.84637681159420297</v>
      </c>
      <c r="AB323" s="5">
        <f t="shared" si="92"/>
        <v>45292</v>
      </c>
      <c r="AC323" s="5">
        <f t="shared" si="93"/>
        <v>45657</v>
      </c>
      <c r="AD323" s="1">
        <v>6</v>
      </c>
      <c r="AE323" s="1">
        <f t="shared" si="94"/>
        <v>0</v>
      </c>
      <c r="AF323" s="1">
        <f t="shared" si="95"/>
        <v>0</v>
      </c>
      <c r="AG323" s="1">
        <f t="shared" si="96"/>
        <v>0</v>
      </c>
      <c r="AH323" s="1">
        <f t="shared" si="97"/>
        <v>0</v>
      </c>
      <c r="AI323" s="1">
        <f t="shared" si="98"/>
        <v>183</v>
      </c>
      <c r="AJ323" s="3">
        <f t="shared" si="99"/>
        <v>0.5</v>
      </c>
      <c r="AK323" s="3">
        <f t="shared" si="100"/>
        <v>0.42318840579710149</v>
      </c>
      <c r="AL323" s="3">
        <f t="shared" si="101"/>
        <v>0</v>
      </c>
      <c r="AM323" s="3">
        <f t="shared" si="102"/>
        <v>0</v>
      </c>
      <c r="AN323" s="3">
        <f t="shared" si="103"/>
        <v>0</v>
      </c>
      <c r="AO323" s="3">
        <f t="shared" si="104"/>
        <v>0</v>
      </c>
      <c r="AP323" s="1" t="str">
        <f>INDEX({"EAD";"EAD";"EAD";"EAD MOOC";"EAD";"EAD";"EAD FP";"EAD";"PRESENCIAL";"PRESENCIAL";"PRESENCIAL";"PRESENCIAL"}, MATCH(CONCATENATE(E323, ".", F323),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24" spans="1:42" x14ac:dyDescent="0.25">
      <c r="A324" s="1" t="s">
        <v>27</v>
      </c>
      <c r="B324" s="1" t="s">
        <v>43</v>
      </c>
      <c r="C324" s="1" t="s">
        <v>29</v>
      </c>
      <c r="D324" s="1" t="s">
        <v>44</v>
      </c>
      <c r="E324" s="1" t="s">
        <v>120</v>
      </c>
      <c r="F324" s="1" t="s">
        <v>21</v>
      </c>
      <c r="G324" s="1" t="s">
        <v>121</v>
      </c>
      <c r="H324" s="1" t="s">
        <v>508</v>
      </c>
      <c r="I324" s="1" t="s">
        <v>503</v>
      </c>
      <c r="J324" s="1" t="s">
        <v>125</v>
      </c>
      <c r="K324" s="1" t="s">
        <v>109</v>
      </c>
      <c r="L324" s="1">
        <v>1939221</v>
      </c>
      <c r="M324" s="1" t="s">
        <v>522</v>
      </c>
      <c r="N324" s="5">
        <f t="shared" si="108"/>
        <v>41732</v>
      </c>
      <c r="O324" s="5">
        <f>DATE(2018,12,22)</f>
        <v>43456</v>
      </c>
      <c r="P324" s="5">
        <f t="shared" ref="P324:P387" si="109">IF(G324="QUALIFICACAO PROFISSIONAL (FIC)",O324,O324+1095)</f>
        <v>44551</v>
      </c>
      <c r="Q324" s="1">
        <v>4610</v>
      </c>
      <c r="R324" s="1">
        <v>3600</v>
      </c>
      <c r="S324" s="1">
        <f t="shared" ref="S324:S387" si="110">IF(OR(G324="QUALIFICACAO PROFISSIONAL (FIC)",G324="DOUTORADO"),Q324,    IF(ISNUMBER(FIND("PROEJA",K324)),2400,        IF(K324="INTEGRADO",            IF(R324=800,3000,                IF(R324=1000,3100,                    IF(R324=1200,3200,R324)                )            ),            R324        )    ))</f>
        <v>3600</v>
      </c>
      <c r="T324" s="1">
        <v>2.5</v>
      </c>
      <c r="U324" s="1" t="str">
        <f t="shared" ref="U324:U387" si="111">IF(P324&lt;AB324,"NÃO","SIM")</f>
        <v>NÃO</v>
      </c>
      <c r="V324" s="1">
        <f t="shared" ref="V324:V387" si="112">O324-N324+1</f>
        <v>1725</v>
      </c>
      <c r="W324" s="4">
        <f t="shared" ref="W324:W387" si="113">IF(S324&gt;Q324,Q324,S324)/V324</f>
        <v>2.0869565217391304</v>
      </c>
      <c r="X324" s="4">
        <f t="shared" ref="X324:X387" si="114">IF(V324&gt;365,W324*365,S324)</f>
        <v>761.73913043478262</v>
      </c>
      <c r="Y324" s="4">
        <f t="shared" ref="Y324:Y387" si="115">IF(V324&gt;365,X324/800,S324/800)</f>
        <v>0.95217391304347831</v>
      </c>
      <c r="AB324" s="5">
        <f t="shared" ref="AB324:AB387" si="116">DATE(2024,1,1)</f>
        <v>45292</v>
      </c>
      <c r="AC324" s="5">
        <f t="shared" ref="AC324:AC387" si="117">DATE(2024,12,31)</f>
        <v>45657</v>
      </c>
      <c r="AD324" s="1">
        <v>2</v>
      </c>
      <c r="AE324" s="1">
        <f t="shared" ref="AE324:AE387" si="118">IF(AND(N324&lt;AB324,O324&gt;AC324),AC324-AB324+1,0)</f>
        <v>0</v>
      </c>
      <c r="AF324" s="1">
        <f t="shared" ref="AF324:AF387" si="119">IF(AND(N324&gt;=AB324,O324&gt;AC324,N324&lt;AC324),AC324-N324+1,0)</f>
        <v>0</v>
      </c>
      <c r="AG324" s="1">
        <f t="shared" ref="AG324:AG387" si="120">IF(AND(N324&lt;AB324,O324&lt;=AC324,O324&gt;=AB324),O324-AB324+1,0)</f>
        <v>0</v>
      </c>
      <c r="AH324" s="1">
        <f t="shared" ref="AH324:AH387" si="121">IF(AND(N324&gt;=AB324,O324&lt;=AC324),O324-N324+1,0)</f>
        <v>0</v>
      </c>
      <c r="AI324" s="1">
        <f t="shared" ref="AI324:AI387" si="122">IF(AND(N324&lt;AB324,O324&lt;AB324),(AC324-AB324+1)/2,0)</f>
        <v>183</v>
      </c>
      <c r="AJ324" s="3">
        <f t="shared" ref="AJ324:AJ387" si="123">SUM(AE324:AI324)/IF(V324&gt;=365,AC324-AB324+1,V324)</f>
        <v>0.5</v>
      </c>
      <c r="AK324" s="3">
        <f t="shared" ref="AK324:AK387" si="124">Y324*AJ324</f>
        <v>0.47608695652173916</v>
      </c>
      <c r="AL324" s="3">
        <f t="shared" ref="AL324:AL387" si="125">IF(AI324=0,AK324*AD324,IF(U324="SIM",AK324*(AD324/2),0))</f>
        <v>0</v>
      </c>
      <c r="AM324" s="3">
        <f t="shared" ref="AM324:AM387" si="126">AL324*T324</f>
        <v>0</v>
      </c>
      <c r="AN324" s="3">
        <f t="shared" ref="AN324:AN387" si="127">IF(J324="SIM",AM324*50%,0)</f>
        <v>0</v>
      </c>
      <c r="AO324" s="3">
        <f t="shared" ref="AO324:AO387" si="128">IF(U324="SIM",AM324+AN324,0)</f>
        <v>0</v>
      </c>
      <c r="AP324" s="1" t="str">
        <f>INDEX({"EAD";"EAD";"EAD";"EAD MOOC";"EAD";"EAD";"EAD FP";"EAD";"PRESENCIAL";"PRESENCIAL";"PRESENCIAL";"PRESENCIAL"}, MATCH(CONCATENATE(E324, ".", F324),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25" spans="1:42" x14ac:dyDescent="0.25">
      <c r="A325" s="1" t="s">
        <v>27</v>
      </c>
      <c r="B325" s="1" t="s">
        <v>43</v>
      </c>
      <c r="C325" s="1" t="s">
        <v>29</v>
      </c>
      <c r="D325" s="1" t="s">
        <v>44</v>
      </c>
      <c r="E325" s="1" t="s">
        <v>120</v>
      </c>
      <c r="F325" s="1" t="s">
        <v>21</v>
      </c>
      <c r="G325" s="1" t="s">
        <v>121</v>
      </c>
      <c r="H325" s="1" t="s">
        <v>495</v>
      </c>
      <c r="I325" s="1" t="s">
        <v>124</v>
      </c>
      <c r="J325" s="1" t="s">
        <v>125</v>
      </c>
      <c r="K325" s="1" t="s">
        <v>109</v>
      </c>
      <c r="L325" s="1">
        <v>1939225</v>
      </c>
      <c r="M325" s="1" t="s">
        <v>523</v>
      </c>
      <c r="N325" s="5">
        <f t="shared" si="108"/>
        <v>41732</v>
      </c>
      <c r="O325" s="5">
        <f>DATE(2016,12,23)</f>
        <v>42727</v>
      </c>
      <c r="P325" s="5">
        <f t="shared" si="109"/>
        <v>43822</v>
      </c>
      <c r="Q325" s="1">
        <v>2593</v>
      </c>
      <c r="R325" s="1">
        <v>2400</v>
      </c>
      <c r="S325" s="1">
        <f t="shared" si="110"/>
        <v>2400</v>
      </c>
      <c r="T325" s="1">
        <v>1</v>
      </c>
      <c r="U325" s="1" t="str">
        <f t="shared" si="111"/>
        <v>NÃO</v>
      </c>
      <c r="V325" s="1">
        <f t="shared" si="112"/>
        <v>996</v>
      </c>
      <c r="W325" s="4">
        <f t="shared" si="113"/>
        <v>2.4096385542168677</v>
      </c>
      <c r="X325" s="4">
        <f t="shared" si="114"/>
        <v>879.51807228915675</v>
      </c>
      <c r="Y325" s="4">
        <f t="shared" si="115"/>
        <v>1.0993975903614459</v>
      </c>
      <c r="AB325" s="5">
        <f t="shared" si="116"/>
        <v>45292</v>
      </c>
      <c r="AC325" s="5">
        <f t="shared" si="117"/>
        <v>45657</v>
      </c>
      <c r="AD325" s="1">
        <v>2</v>
      </c>
      <c r="AE325" s="1">
        <f t="shared" si="118"/>
        <v>0</v>
      </c>
      <c r="AF325" s="1">
        <f t="shared" si="119"/>
        <v>0</v>
      </c>
      <c r="AG325" s="1">
        <f t="shared" si="120"/>
        <v>0</v>
      </c>
      <c r="AH325" s="1">
        <f t="shared" si="121"/>
        <v>0</v>
      </c>
      <c r="AI325" s="1">
        <f t="shared" si="122"/>
        <v>183</v>
      </c>
      <c r="AJ325" s="3">
        <f t="shared" si="123"/>
        <v>0.5</v>
      </c>
      <c r="AK325" s="3">
        <f t="shared" si="124"/>
        <v>0.54969879518072295</v>
      </c>
      <c r="AL325" s="3">
        <f t="shared" si="125"/>
        <v>0</v>
      </c>
      <c r="AM325" s="3">
        <f t="shared" si="126"/>
        <v>0</v>
      </c>
      <c r="AN325" s="3">
        <f t="shared" si="127"/>
        <v>0</v>
      </c>
      <c r="AO325" s="3">
        <f t="shared" si="128"/>
        <v>0</v>
      </c>
      <c r="AP325" s="1" t="str">
        <f>INDEX({"EAD";"EAD";"EAD";"EAD MOOC";"EAD";"EAD";"EAD FP";"EAD";"PRESENCIAL";"PRESENCIAL";"PRESENCIAL";"PRESENCIAL"}, MATCH(CONCATENATE(E325, ".", F325),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26" spans="1:42" x14ac:dyDescent="0.25">
      <c r="A326" s="1" t="s">
        <v>27</v>
      </c>
      <c r="B326" s="1" t="s">
        <v>43</v>
      </c>
      <c r="C326" s="1" t="s">
        <v>29</v>
      </c>
      <c r="D326" s="1" t="s">
        <v>44</v>
      </c>
      <c r="E326" s="1" t="s">
        <v>120</v>
      </c>
      <c r="F326" s="1" t="s">
        <v>21</v>
      </c>
      <c r="G326" s="1" t="s">
        <v>140</v>
      </c>
      <c r="H326" s="1" t="s">
        <v>502</v>
      </c>
      <c r="I326" s="1" t="s">
        <v>503</v>
      </c>
      <c r="J326" s="1" t="s">
        <v>125</v>
      </c>
      <c r="K326" s="1" t="s">
        <v>109</v>
      </c>
      <c r="L326" s="1">
        <v>1939231</v>
      </c>
      <c r="M326" s="1" t="s">
        <v>524</v>
      </c>
      <c r="N326" s="5">
        <f t="shared" si="108"/>
        <v>41732</v>
      </c>
      <c r="O326" s="5">
        <f>DATE(2017,7,14)</f>
        <v>42930</v>
      </c>
      <c r="P326" s="5">
        <f t="shared" si="109"/>
        <v>44025</v>
      </c>
      <c r="Q326" s="1">
        <v>2406</v>
      </c>
      <c r="R326" s="1">
        <v>2400</v>
      </c>
      <c r="S326" s="1">
        <f t="shared" si="110"/>
        <v>2400</v>
      </c>
      <c r="T326" s="1">
        <v>2.5</v>
      </c>
      <c r="U326" s="1" t="str">
        <f t="shared" si="111"/>
        <v>NÃO</v>
      </c>
      <c r="V326" s="1">
        <f t="shared" si="112"/>
        <v>1199</v>
      </c>
      <c r="W326" s="4">
        <f t="shared" si="113"/>
        <v>2.0016680567139282</v>
      </c>
      <c r="X326" s="4">
        <f t="shared" si="114"/>
        <v>730.60884070058376</v>
      </c>
      <c r="Y326" s="4">
        <f t="shared" si="115"/>
        <v>0.91326105087572973</v>
      </c>
      <c r="AB326" s="5">
        <f t="shared" si="116"/>
        <v>45292</v>
      </c>
      <c r="AC326" s="5">
        <f t="shared" si="117"/>
        <v>45657</v>
      </c>
      <c r="AE326" s="1">
        <f t="shared" si="118"/>
        <v>0</v>
      </c>
      <c r="AF326" s="1">
        <f t="shared" si="119"/>
        <v>0</v>
      </c>
      <c r="AG326" s="1">
        <f t="shared" si="120"/>
        <v>0</v>
      </c>
      <c r="AH326" s="1">
        <f t="shared" si="121"/>
        <v>0</v>
      </c>
      <c r="AI326" s="1">
        <f t="shared" si="122"/>
        <v>183</v>
      </c>
      <c r="AJ326" s="3">
        <f t="shared" si="123"/>
        <v>0.5</v>
      </c>
      <c r="AK326" s="3">
        <f t="shared" si="124"/>
        <v>0.45663052543786486</v>
      </c>
      <c r="AL326" s="3">
        <f t="shared" si="125"/>
        <v>0</v>
      </c>
      <c r="AM326" s="3">
        <f t="shared" si="126"/>
        <v>0</v>
      </c>
      <c r="AN326" s="3">
        <f t="shared" si="127"/>
        <v>0</v>
      </c>
      <c r="AO326" s="3">
        <f t="shared" si="128"/>
        <v>0</v>
      </c>
      <c r="AP326" s="1" t="str">
        <f>INDEX({"EAD";"EAD";"EAD";"EAD MOOC";"EAD";"EAD";"EAD FP";"EAD";"PRESENCIAL";"PRESENCIAL";"PRESENCIAL";"PRESENCIAL"}, MATCH(CONCATENATE(E326, ".", F326),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27" spans="1:42" x14ac:dyDescent="0.25">
      <c r="A327" s="1" t="s">
        <v>27</v>
      </c>
      <c r="B327" s="1" t="s">
        <v>43</v>
      </c>
      <c r="C327" s="1" t="s">
        <v>29</v>
      </c>
      <c r="D327" s="1" t="s">
        <v>44</v>
      </c>
      <c r="E327" s="1" t="s">
        <v>120</v>
      </c>
      <c r="F327" s="1" t="s">
        <v>21</v>
      </c>
      <c r="G327" s="1" t="s">
        <v>140</v>
      </c>
      <c r="H327" s="1" t="s">
        <v>500</v>
      </c>
      <c r="I327" s="1" t="s">
        <v>209</v>
      </c>
      <c r="J327" s="1" t="s">
        <v>125</v>
      </c>
      <c r="K327" s="1" t="s">
        <v>109</v>
      </c>
      <c r="L327" s="1">
        <v>1939262</v>
      </c>
      <c r="M327" s="1" t="s">
        <v>525</v>
      </c>
      <c r="N327" s="5">
        <f t="shared" si="108"/>
        <v>41732</v>
      </c>
      <c r="O327" s="5">
        <f>DATE(2016,12,23)</f>
        <v>42727</v>
      </c>
      <c r="P327" s="5">
        <f t="shared" si="109"/>
        <v>43822</v>
      </c>
      <c r="Q327" s="1">
        <v>2280</v>
      </c>
      <c r="R327" s="1">
        <v>2000</v>
      </c>
      <c r="S327" s="1">
        <f t="shared" si="110"/>
        <v>2000</v>
      </c>
      <c r="T327" s="1">
        <v>1</v>
      </c>
      <c r="U327" s="1" t="str">
        <f t="shared" si="111"/>
        <v>NÃO</v>
      </c>
      <c r="V327" s="1">
        <f t="shared" si="112"/>
        <v>996</v>
      </c>
      <c r="W327" s="4">
        <f t="shared" si="113"/>
        <v>2.0080321285140563</v>
      </c>
      <c r="X327" s="4">
        <f t="shared" si="114"/>
        <v>732.9317269076306</v>
      </c>
      <c r="Y327" s="4">
        <f t="shared" si="115"/>
        <v>0.91616465863453822</v>
      </c>
      <c r="AB327" s="5">
        <f t="shared" si="116"/>
        <v>45292</v>
      </c>
      <c r="AC327" s="5">
        <f t="shared" si="117"/>
        <v>45657</v>
      </c>
      <c r="AD327" s="1">
        <v>4</v>
      </c>
      <c r="AE327" s="1">
        <f t="shared" si="118"/>
        <v>0</v>
      </c>
      <c r="AF327" s="1">
        <f t="shared" si="119"/>
        <v>0</v>
      </c>
      <c r="AG327" s="1">
        <f t="shared" si="120"/>
        <v>0</v>
      </c>
      <c r="AH327" s="1">
        <f t="shared" si="121"/>
        <v>0</v>
      </c>
      <c r="AI327" s="1">
        <f t="shared" si="122"/>
        <v>183</v>
      </c>
      <c r="AJ327" s="3">
        <f t="shared" si="123"/>
        <v>0.5</v>
      </c>
      <c r="AK327" s="3">
        <f t="shared" si="124"/>
        <v>0.45808232931726911</v>
      </c>
      <c r="AL327" s="3">
        <f t="shared" si="125"/>
        <v>0</v>
      </c>
      <c r="AM327" s="3">
        <f t="shared" si="126"/>
        <v>0</v>
      </c>
      <c r="AN327" s="3">
        <f t="shared" si="127"/>
        <v>0</v>
      </c>
      <c r="AO327" s="3">
        <f t="shared" si="128"/>
        <v>0</v>
      </c>
      <c r="AP327" s="1" t="str">
        <f>INDEX({"EAD";"EAD";"EAD";"EAD MOOC";"EAD";"EAD";"EAD FP";"EAD";"PRESENCIAL";"PRESENCIAL";"PRESENCIAL";"PRESENCIAL"}, MATCH(CONCATENATE(E327, ".", F327),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28" spans="1:42" x14ac:dyDescent="0.25">
      <c r="A328" s="1" t="s">
        <v>27</v>
      </c>
      <c r="B328" s="1" t="s">
        <v>43</v>
      </c>
      <c r="C328" s="1" t="s">
        <v>29</v>
      </c>
      <c r="D328" s="1" t="s">
        <v>44</v>
      </c>
      <c r="E328" s="1" t="s">
        <v>120</v>
      </c>
      <c r="F328" s="1" t="s">
        <v>21</v>
      </c>
      <c r="G328" s="1" t="s">
        <v>128</v>
      </c>
      <c r="H328" s="1" t="s">
        <v>526</v>
      </c>
      <c r="I328" s="1" t="s">
        <v>503</v>
      </c>
      <c r="J328" s="1" t="s">
        <v>125</v>
      </c>
      <c r="K328" s="1" t="s">
        <v>163</v>
      </c>
      <c r="L328" s="1">
        <v>1939622</v>
      </c>
      <c r="M328" s="1" t="s">
        <v>527</v>
      </c>
      <c r="N328" s="5">
        <f t="shared" si="108"/>
        <v>41732</v>
      </c>
      <c r="O328" s="5">
        <f>DATE(2015,12,23)</f>
        <v>42361</v>
      </c>
      <c r="P328" s="5">
        <f t="shared" si="109"/>
        <v>43456</v>
      </c>
      <c r="Q328" s="1">
        <v>1707</v>
      </c>
      <c r="R328" s="1">
        <v>1200</v>
      </c>
      <c r="S328" s="1">
        <f t="shared" si="110"/>
        <v>1200</v>
      </c>
      <c r="T328" s="1">
        <v>2.5</v>
      </c>
      <c r="U328" s="1" t="str">
        <f t="shared" si="111"/>
        <v>NÃO</v>
      </c>
      <c r="V328" s="1">
        <f t="shared" si="112"/>
        <v>630</v>
      </c>
      <c r="W328" s="4">
        <f t="shared" si="113"/>
        <v>1.9047619047619047</v>
      </c>
      <c r="X328" s="4">
        <f t="shared" si="114"/>
        <v>695.23809523809518</v>
      </c>
      <c r="Y328" s="4">
        <f t="shared" si="115"/>
        <v>0.86904761904761896</v>
      </c>
      <c r="AB328" s="5">
        <f t="shared" si="116"/>
        <v>45292</v>
      </c>
      <c r="AC328" s="5">
        <f t="shared" si="117"/>
        <v>45657</v>
      </c>
      <c r="AE328" s="1">
        <f t="shared" si="118"/>
        <v>0</v>
      </c>
      <c r="AF328" s="1">
        <f t="shared" si="119"/>
        <v>0</v>
      </c>
      <c r="AG328" s="1">
        <f t="shared" si="120"/>
        <v>0</v>
      </c>
      <c r="AH328" s="1">
        <f t="shared" si="121"/>
        <v>0</v>
      </c>
      <c r="AI328" s="1">
        <f t="shared" si="122"/>
        <v>183</v>
      </c>
      <c r="AJ328" s="3">
        <f t="shared" si="123"/>
        <v>0.5</v>
      </c>
      <c r="AK328" s="3">
        <f t="shared" si="124"/>
        <v>0.43452380952380948</v>
      </c>
      <c r="AL328" s="3">
        <f t="shared" si="125"/>
        <v>0</v>
      </c>
      <c r="AM328" s="3">
        <f t="shared" si="126"/>
        <v>0</v>
      </c>
      <c r="AN328" s="3">
        <f t="shared" si="127"/>
        <v>0</v>
      </c>
      <c r="AO328" s="3">
        <f t="shared" si="128"/>
        <v>0</v>
      </c>
      <c r="AP328" s="1" t="str">
        <f>INDEX({"EAD";"EAD";"EAD";"EAD MOOC";"EAD";"EAD";"EAD FP";"EAD";"PRESENCIAL";"PRESENCIAL";"PRESENCIAL";"PRESENCIAL"}, MATCH(CONCATENATE(E328, ".", F328),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29" spans="1:42" x14ac:dyDescent="0.25">
      <c r="A329" s="1" t="s">
        <v>27</v>
      </c>
      <c r="B329" s="1" t="s">
        <v>43</v>
      </c>
      <c r="C329" s="1" t="s">
        <v>29</v>
      </c>
      <c r="D329" s="1" t="s">
        <v>44</v>
      </c>
      <c r="E329" s="1" t="s">
        <v>120</v>
      </c>
      <c r="F329" s="1" t="s">
        <v>21</v>
      </c>
      <c r="G329" s="1" t="s">
        <v>121</v>
      </c>
      <c r="H329" s="1" t="s">
        <v>508</v>
      </c>
      <c r="I329" s="1" t="s">
        <v>503</v>
      </c>
      <c r="J329" s="1" t="s">
        <v>125</v>
      </c>
      <c r="K329" s="1" t="s">
        <v>109</v>
      </c>
      <c r="L329" s="1">
        <v>1959861</v>
      </c>
      <c r="M329" s="1" t="s">
        <v>528</v>
      </c>
      <c r="N329" s="5">
        <f>DATE(2014,9,1)</f>
        <v>41883</v>
      </c>
      <c r="O329" s="5">
        <f>DATE(2019,8,16)</f>
        <v>43693</v>
      </c>
      <c r="P329" s="5">
        <f t="shared" si="109"/>
        <v>44788</v>
      </c>
      <c r="Q329" s="1">
        <v>4610</v>
      </c>
      <c r="R329" s="1">
        <v>3600</v>
      </c>
      <c r="S329" s="1">
        <f t="shared" si="110"/>
        <v>3600</v>
      </c>
      <c r="T329" s="1">
        <v>2.5</v>
      </c>
      <c r="U329" s="1" t="str">
        <f t="shared" si="111"/>
        <v>NÃO</v>
      </c>
      <c r="V329" s="1">
        <f t="shared" si="112"/>
        <v>1811</v>
      </c>
      <c r="W329" s="4">
        <f t="shared" si="113"/>
        <v>1.9878520154610713</v>
      </c>
      <c r="X329" s="4">
        <f t="shared" si="114"/>
        <v>725.56598564329101</v>
      </c>
      <c r="Y329" s="4">
        <f t="shared" si="115"/>
        <v>0.90695748205411375</v>
      </c>
      <c r="AB329" s="5">
        <f t="shared" si="116"/>
        <v>45292</v>
      </c>
      <c r="AC329" s="5">
        <f t="shared" si="117"/>
        <v>45657</v>
      </c>
      <c r="AD329" s="1">
        <v>6</v>
      </c>
      <c r="AE329" s="1">
        <f t="shared" si="118"/>
        <v>0</v>
      </c>
      <c r="AF329" s="1">
        <f t="shared" si="119"/>
        <v>0</v>
      </c>
      <c r="AG329" s="1">
        <f t="shared" si="120"/>
        <v>0</v>
      </c>
      <c r="AH329" s="1">
        <f t="shared" si="121"/>
        <v>0</v>
      </c>
      <c r="AI329" s="1">
        <f t="shared" si="122"/>
        <v>183</v>
      </c>
      <c r="AJ329" s="3">
        <f t="shared" si="123"/>
        <v>0.5</v>
      </c>
      <c r="AK329" s="3">
        <f t="shared" si="124"/>
        <v>0.45347874102705688</v>
      </c>
      <c r="AL329" s="3">
        <f t="shared" si="125"/>
        <v>0</v>
      </c>
      <c r="AM329" s="3">
        <f t="shared" si="126"/>
        <v>0</v>
      </c>
      <c r="AN329" s="3">
        <f t="shared" si="127"/>
        <v>0</v>
      </c>
      <c r="AO329" s="3">
        <f t="shared" si="128"/>
        <v>0</v>
      </c>
      <c r="AP329" s="1" t="str">
        <f>INDEX({"EAD";"EAD";"EAD";"EAD MOOC";"EAD";"EAD";"EAD FP";"EAD";"PRESENCIAL";"PRESENCIAL";"PRESENCIAL";"PRESENCIAL"}, MATCH(CONCATENATE(E329, ".", F329),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30" spans="1:42" x14ac:dyDescent="0.25">
      <c r="A330" s="1" t="s">
        <v>27</v>
      </c>
      <c r="B330" s="1" t="s">
        <v>43</v>
      </c>
      <c r="C330" s="1" t="s">
        <v>29</v>
      </c>
      <c r="D330" s="1" t="s">
        <v>44</v>
      </c>
      <c r="E330" s="1" t="s">
        <v>120</v>
      </c>
      <c r="F330" s="1" t="s">
        <v>21</v>
      </c>
      <c r="G330" s="1" t="s">
        <v>140</v>
      </c>
      <c r="H330" s="1" t="s">
        <v>529</v>
      </c>
      <c r="I330" s="1" t="s">
        <v>289</v>
      </c>
      <c r="J330" s="1" t="s">
        <v>125</v>
      </c>
      <c r="K330" s="1" t="s">
        <v>109</v>
      </c>
      <c r="L330" s="1">
        <v>1959863</v>
      </c>
      <c r="M330" s="1" t="s">
        <v>530</v>
      </c>
      <c r="N330" s="5">
        <f>DATE(2014,9,1)</f>
        <v>41883</v>
      </c>
      <c r="O330" s="5">
        <f>DATE(2017,12,22)</f>
        <v>43091</v>
      </c>
      <c r="P330" s="5">
        <f t="shared" si="109"/>
        <v>44186</v>
      </c>
      <c r="Q330" s="1">
        <v>2509</v>
      </c>
      <c r="R330" s="1">
        <v>2400</v>
      </c>
      <c r="S330" s="1">
        <f t="shared" si="110"/>
        <v>2400</v>
      </c>
      <c r="T330" s="1">
        <v>2.5</v>
      </c>
      <c r="U330" s="1" t="str">
        <f t="shared" si="111"/>
        <v>NÃO</v>
      </c>
      <c r="V330" s="1">
        <f t="shared" si="112"/>
        <v>1209</v>
      </c>
      <c r="W330" s="4">
        <f t="shared" si="113"/>
        <v>1.9851116625310175</v>
      </c>
      <c r="X330" s="4">
        <f t="shared" si="114"/>
        <v>724.5657568238214</v>
      </c>
      <c r="Y330" s="4">
        <f t="shared" si="115"/>
        <v>0.90570719602977678</v>
      </c>
      <c r="AB330" s="5">
        <f t="shared" si="116"/>
        <v>45292</v>
      </c>
      <c r="AC330" s="5">
        <f t="shared" si="117"/>
        <v>45657</v>
      </c>
      <c r="AE330" s="1">
        <f t="shared" si="118"/>
        <v>0</v>
      </c>
      <c r="AF330" s="1">
        <f t="shared" si="119"/>
        <v>0</v>
      </c>
      <c r="AG330" s="1">
        <f t="shared" si="120"/>
        <v>0</v>
      </c>
      <c r="AH330" s="1">
        <f t="shared" si="121"/>
        <v>0</v>
      </c>
      <c r="AI330" s="1">
        <f t="shared" si="122"/>
        <v>183</v>
      </c>
      <c r="AJ330" s="3">
        <f t="shared" si="123"/>
        <v>0.5</v>
      </c>
      <c r="AK330" s="3">
        <f t="shared" si="124"/>
        <v>0.45285359801488839</v>
      </c>
      <c r="AL330" s="3">
        <f t="shared" si="125"/>
        <v>0</v>
      </c>
      <c r="AM330" s="3">
        <f t="shared" si="126"/>
        <v>0</v>
      </c>
      <c r="AN330" s="3">
        <f t="shared" si="127"/>
        <v>0</v>
      </c>
      <c r="AO330" s="3">
        <f t="shared" si="128"/>
        <v>0</v>
      </c>
      <c r="AP330" s="1" t="str">
        <f>INDEX({"EAD";"EAD";"EAD";"EAD MOOC";"EAD";"EAD";"EAD FP";"EAD";"PRESENCIAL";"PRESENCIAL";"PRESENCIAL";"PRESENCIAL"}, MATCH(CONCATENATE(E330, ".", F330),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31" spans="1:42" x14ac:dyDescent="0.25">
      <c r="A331" s="1" t="s">
        <v>27</v>
      </c>
      <c r="B331" s="1" t="s">
        <v>43</v>
      </c>
      <c r="C331" s="1" t="s">
        <v>29</v>
      </c>
      <c r="D331" s="1" t="s">
        <v>44</v>
      </c>
      <c r="E331" s="1" t="s">
        <v>120</v>
      </c>
      <c r="F331" s="1" t="s">
        <v>21</v>
      </c>
      <c r="G331" s="1" t="s">
        <v>121</v>
      </c>
      <c r="H331" s="1" t="s">
        <v>508</v>
      </c>
      <c r="I331" s="1" t="s">
        <v>503</v>
      </c>
      <c r="J331" s="1" t="s">
        <v>125</v>
      </c>
      <c r="K331" s="1" t="s">
        <v>109</v>
      </c>
      <c r="L331" s="1">
        <v>1980907</v>
      </c>
      <c r="M331" s="1" t="s">
        <v>531</v>
      </c>
      <c r="N331" s="5">
        <f t="shared" ref="N331:N336" si="129">DATE(2015,3,12)</f>
        <v>42075</v>
      </c>
      <c r="O331" s="5">
        <f>DATE(2019,12,23)</f>
        <v>43822</v>
      </c>
      <c r="P331" s="5">
        <f t="shared" si="109"/>
        <v>44917</v>
      </c>
      <c r="Q331" s="1">
        <v>4610</v>
      </c>
      <c r="R331" s="1">
        <v>3600</v>
      </c>
      <c r="S331" s="1">
        <f t="shared" si="110"/>
        <v>3600</v>
      </c>
      <c r="T331" s="1">
        <v>2.5</v>
      </c>
      <c r="U331" s="1" t="str">
        <f t="shared" si="111"/>
        <v>NÃO</v>
      </c>
      <c r="V331" s="1">
        <f t="shared" si="112"/>
        <v>1748</v>
      </c>
      <c r="W331" s="4">
        <f t="shared" si="113"/>
        <v>2.0594965675057209</v>
      </c>
      <c r="X331" s="4">
        <f t="shared" si="114"/>
        <v>751.71624713958806</v>
      </c>
      <c r="Y331" s="4">
        <f t="shared" si="115"/>
        <v>0.93964530892448506</v>
      </c>
      <c r="AB331" s="5">
        <f t="shared" si="116"/>
        <v>45292</v>
      </c>
      <c r="AC331" s="5">
        <f t="shared" si="117"/>
        <v>45657</v>
      </c>
      <c r="AD331" s="1">
        <v>2</v>
      </c>
      <c r="AE331" s="1">
        <f t="shared" si="118"/>
        <v>0</v>
      </c>
      <c r="AF331" s="1">
        <f t="shared" si="119"/>
        <v>0</v>
      </c>
      <c r="AG331" s="1">
        <f t="shared" si="120"/>
        <v>0</v>
      </c>
      <c r="AH331" s="1">
        <f t="shared" si="121"/>
        <v>0</v>
      </c>
      <c r="AI331" s="1">
        <f t="shared" si="122"/>
        <v>183</v>
      </c>
      <c r="AJ331" s="3">
        <f t="shared" si="123"/>
        <v>0.5</v>
      </c>
      <c r="AK331" s="3">
        <f t="shared" si="124"/>
        <v>0.46982265446224253</v>
      </c>
      <c r="AL331" s="3">
        <f t="shared" si="125"/>
        <v>0</v>
      </c>
      <c r="AM331" s="3">
        <f t="shared" si="126"/>
        <v>0</v>
      </c>
      <c r="AN331" s="3">
        <f t="shared" si="127"/>
        <v>0</v>
      </c>
      <c r="AO331" s="3">
        <f t="shared" si="128"/>
        <v>0</v>
      </c>
      <c r="AP331" s="1" t="str">
        <f>INDEX({"EAD";"EAD";"EAD";"EAD MOOC";"EAD";"EAD";"EAD FP";"EAD";"PRESENCIAL";"PRESENCIAL";"PRESENCIAL";"PRESENCIAL"}, MATCH(CONCATENATE(E331, ".", F331),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32" spans="1:42" x14ac:dyDescent="0.25">
      <c r="A332" s="1" t="s">
        <v>27</v>
      </c>
      <c r="B332" s="1" t="s">
        <v>43</v>
      </c>
      <c r="C332" s="1" t="s">
        <v>29</v>
      </c>
      <c r="D332" s="1" t="s">
        <v>44</v>
      </c>
      <c r="E332" s="1" t="s">
        <v>120</v>
      </c>
      <c r="F332" s="1" t="s">
        <v>21</v>
      </c>
      <c r="G332" s="1" t="s">
        <v>121</v>
      </c>
      <c r="H332" s="1" t="s">
        <v>506</v>
      </c>
      <c r="I332" s="1" t="s">
        <v>209</v>
      </c>
      <c r="J332" s="1" t="s">
        <v>125</v>
      </c>
      <c r="K332" s="1" t="s">
        <v>109</v>
      </c>
      <c r="L332" s="1">
        <v>1980913</v>
      </c>
      <c r="M332" s="1" t="s">
        <v>532</v>
      </c>
      <c r="N332" s="5">
        <f t="shared" si="129"/>
        <v>42075</v>
      </c>
      <c r="O332" s="5">
        <f>DATE(2019,12,23)</f>
        <v>43822</v>
      </c>
      <c r="P332" s="5">
        <f t="shared" si="109"/>
        <v>44917</v>
      </c>
      <c r="Q332" s="1">
        <v>4415</v>
      </c>
      <c r="R332" s="1">
        <v>3200</v>
      </c>
      <c r="S332" s="1">
        <f t="shared" si="110"/>
        <v>3200</v>
      </c>
      <c r="T332" s="1">
        <v>2.5</v>
      </c>
      <c r="U332" s="1" t="str">
        <f t="shared" si="111"/>
        <v>NÃO</v>
      </c>
      <c r="V332" s="1">
        <f t="shared" si="112"/>
        <v>1748</v>
      </c>
      <c r="W332" s="4">
        <f t="shared" si="113"/>
        <v>1.8306636155606408</v>
      </c>
      <c r="X332" s="4">
        <f t="shared" si="114"/>
        <v>668.19221967963392</v>
      </c>
      <c r="Y332" s="4">
        <f t="shared" si="115"/>
        <v>0.83524027459954242</v>
      </c>
      <c r="AB332" s="5">
        <f t="shared" si="116"/>
        <v>45292</v>
      </c>
      <c r="AC332" s="5">
        <f t="shared" si="117"/>
        <v>45657</v>
      </c>
      <c r="AD332" s="1">
        <v>9</v>
      </c>
      <c r="AE332" s="1">
        <f t="shared" si="118"/>
        <v>0</v>
      </c>
      <c r="AF332" s="1">
        <f t="shared" si="119"/>
        <v>0</v>
      </c>
      <c r="AG332" s="1">
        <f t="shared" si="120"/>
        <v>0</v>
      </c>
      <c r="AH332" s="1">
        <f t="shared" si="121"/>
        <v>0</v>
      </c>
      <c r="AI332" s="1">
        <f t="shared" si="122"/>
        <v>183</v>
      </c>
      <c r="AJ332" s="3">
        <f t="shared" si="123"/>
        <v>0.5</v>
      </c>
      <c r="AK332" s="3">
        <f t="shared" si="124"/>
        <v>0.41762013729977121</v>
      </c>
      <c r="AL332" s="3">
        <f t="shared" si="125"/>
        <v>0</v>
      </c>
      <c r="AM332" s="3">
        <f t="shared" si="126"/>
        <v>0</v>
      </c>
      <c r="AN332" s="3">
        <f t="shared" si="127"/>
        <v>0</v>
      </c>
      <c r="AO332" s="3">
        <f t="shared" si="128"/>
        <v>0</v>
      </c>
      <c r="AP332" s="1" t="str">
        <f>INDEX({"EAD";"EAD";"EAD";"EAD MOOC";"EAD";"EAD";"EAD FP";"EAD";"PRESENCIAL";"PRESENCIAL";"PRESENCIAL";"PRESENCIAL"}, MATCH(CONCATENATE(E332, ".", F332),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33" spans="1:42" x14ac:dyDescent="0.25">
      <c r="A333" s="1" t="s">
        <v>27</v>
      </c>
      <c r="B333" s="1" t="s">
        <v>43</v>
      </c>
      <c r="C333" s="1" t="s">
        <v>29</v>
      </c>
      <c r="D333" s="1" t="s">
        <v>44</v>
      </c>
      <c r="E333" s="1" t="s">
        <v>120</v>
      </c>
      <c r="F333" s="1" t="s">
        <v>21</v>
      </c>
      <c r="G333" s="1" t="s">
        <v>140</v>
      </c>
      <c r="H333" s="1" t="s">
        <v>502</v>
      </c>
      <c r="I333" s="1" t="s">
        <v>503</v>
      </c>
      <c r="J333" s="1" t="s">
        <v>125</v>
      </c>
      <c r="K333" s="1" t="s">
        <v>109</v>
      </c>
      <c r="L333" s="1">
        <v>1980916</v>
      </c>
      <c r="M333" s="1" t="s">
        <v>533</v>
      </c>
      <c r="N333" s="5">
        <f t="shared" si="129"/>
        <v>42075</v>
      </c>
      <c r="O333" s="5">
        <f>DATE(2018,8,17)</f>
        <v>43329</v>
      </c>
      <c r="P333" s="5">
        <f t="shared" si="109"/>
        <v>44424</v>
      </c>
      <c r="Q333" s="1">
        <v>2406</v>
      </c>
      <c r="R333" s="1">
        <v>2400</v>
      </c>
      <c r="S333" s="1">
        <f t="shared" si="110"/>
        <v>2400</v>
      </c>
      <c r="T333" s="1">
        <v>2.5</v>
      </c>
      <c r="U333" s="1" t="str">
        <f t="shared" si="111"/>
        <v>NÃO</v>
      </c>
      <c r="V333" s="1">
        <f t="shared" si="112"/>
        <v>1255</v>
      </c>
      <c r="W333" s="4">
        <f t="shared" si="113"/>
        <v>1.9123505976095618</v>
      </c>
      <c r="X333" s="4">
        <f t="shared" si="114"/>
        <v>698.00796812749002</v>
      </c>
      <c r="Y333" s="4">
        <f t="shared" si="115"/>
        <v>0.87250996015936255</v>
      </c>
      <c r="AB333" s="5">
        <f t="shared" si="116"/>
        <v>45292</v>
      </c>
      <c r="AC333" s="5">
        <f t="shared" si="117"/>
        <v>45657</v>
      </c>
      <c r="AD333" s="1">
        <v>1</v>
      </c>
      <c r="AE333" s="1">
        <f t="shared" si="118"/>
        <v>0</v>
      </c>
      <c r="AF333" s="1">
        <f t="shared" si="119"/>
        <v>0</v>
      </c>
      <c r="AG333" s="1">
        <f t="shared" si="120"/>
        <v>0</v>
      </c>
      <c r="AH333" s="1">
        <f t="shared" si="121"/>
        <v>0</v>
      </c>
      <c r="AI333" s="1">
        <f t="shared" si="122"/>
        <v>183</v>
      </c>
      <c r="AJ333" s="3">
        <f t="shared" si="123"/>
        <v>0.5</v>
      </c>
      <c r="AK333" s="3">
        <f t="shared" si="124"/>
        <v>0.43625498007968128</v>
      </c>
      <c r="AL333" s="3">
        <f t="shared" si="125"/>
        <v>0</v>
      </c>
      <c r="AM333" s="3">
        <f t="shared" si="126"/>
        <v>0</v>
      </c>
      <c r="AN333" s="3">
        <f t="shared" si="127"/>
        <v>0</v>
      </c>
      <c r="AO333" s="3">
        <f t="shared" si="128"/>
        <v>0</v>
      </c>
      <c r="AP333" s="1" t="str">
        <f>INDEX({"EAD";"EAD";"EAD";"EAD MOOC";"EAD";"EAD";"EAD FP";"EAD";"PRESENCIAL";"PRESENCIAL";"PRESENCIAL";"PRESENCIAL"}, MATCH(CONCATENATE(E333, ".", F333),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34" spans="1:42" x14ac:dyDescent="0.25">
      <c r="A334" s="1" t="s">
        <v>27</v>
      </c>
      <c r="B334" s="1" t="s">
        <v>43</v>
      </c>
      <c r="C334" s="1" t="s">
        <v>29</v>
      </c>
      <c r="D334" s="1" t="s">
        <v>44</v>
      </c>
      <c r="E334" s="1" t="s">
        <v>120</v>
      </c>
      <c r="F334" s="1" t="s">
        <v>21</v>
      </c>
      <c r="G334" s="1" t="s">
        <v>140</v>
      </c>
      <c r="H334" s="1" t="s">
        <v>534</v>
      </c>
      <c r="I334" s="1" t="s">
        <v>289</v>
      </c>
      <c r="J334" s="1" t="s">
        <v>125</v>
      </c>
      <c r="K334" s="1" t="s">
        <v>109</v>
      </c>
      <c r="L334" s="1">
        <v>1980921</v>
      </c>
      <c r="M334" s="1" t="s">
        <v>535</v>
      </c>
      <c r="N334" s="5">
        <f t="shared" si="129"/>
        <v>42075</v>
      </c>
      <c r="O334" s="5">
        <f>DATE(2017,12,22)</f>
        <v>43091</v>
      </c>
      <c r="P334" s="5">
        <f t="shared" si="109"/>
        <v>44186</v>
      </c>
      <c r="Q334" s="1">
        <v>2032</v>
      </c>
      <c r="R334" s="1">
        <v>2400</v>
      </c>
      <c r="S334" s="1">
        <f t="shared" si="110"/>
        <v>2400</v>
      </c>
      <c r="T334" s="1">
        <v>2.5</v>
      </c>
      <c r="U334" s="1" t="str">
        <f t="shared" si="111"/>
        <v>NÃO</v>
      </c>
      <c r="V334" s="1">
        <f t="shared" si="112"/>
        <v>1017</v>
      </c>
      <c r="W334" s="4">
        <f t="shared" si="113"/>
        <v>1.9980334316617503</v>
      </c>
      <c r="X334" s="4">
        <f t="shared" si="114"/>
        <v>729.28220255653889</v>
      </c>
      <c r="Y334" s="4">
        <f t="shared" si="115"/>
        <v>0.91160275319567363</v>
      </c>
      <c r="AB334" s="5">
        <f t="shared" si="116"/>
        <v>45292</v>
      </c>
      <c r="AC334" s="5">
        <f t="shared" si="117"/>
        <v>45657</v>
      </c>
      <c r="AE334" s="1">
        <f t="shared" si="118"/>
        <v>0</v>
      </c>
      <c r="AF334" s="1">
        <f t="shared" si="119"/>
        <v>0</v>
      </c>
      <c r="AG334" s="1">
        <f t="shared" si="120"/>
        <v>0</v>
      </c>
      <c r="AH334" s="1">
        <f t="shared" si="121"/>
        <v>0</v>
      </c>
      <c r="AI334" s="1">
        <f t="shared" si="122"/>
        <v>183</v>
      </c>
      <c r="AJ334" s="3">
        <f t="shared" si="123"/>
        <v>0.5</v>
      </c>
      <c r="AK334" s="3">
        <f t="shared" si="124"/>
        <v>0.45580137659783682</v>
      </c>
      <c r="AL334" s="3">
        <f t="shared" si="125"/>
        <v>0</v>
      </c>
      <c r="AM334" s="3">
        <f t="shared" si="126"/>
        <v>0</v>
      </c>
      <c r="AN334" s="3">
        <f t="shared" si="127"/>
        <v>0</v>
      </c>
      <c r="AO334" s="3">
        <f t="shared" si="128"/>
        <v>0</v>
      </c>
      <c r="AP334" s="1" t="str">
        <f>INDEX({"EAD";"EAD";"EAD";"EAD MOOC";"EAD";"EAD";"EAD FP";"EAD";"PRESENCIAL";"PRESENCIAL";"PRESENCIAL";"PRESENCIAL"}, MATCH(CONCATENATE(E334, ".", F334),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35" spans="1:42" x14ac:dyDescent="0.25">
      <c r="A335" s="1" t="s">
        <v>27</v>
      </c>
      <c r="B335" s="1" t="s">
        <v>43</v>
      </c>
      <c r="C335" s="1" t="s">
        <v>29</v>
      </c>
      <c r="D335" s="1" t="s">
        <v>44</v>
      </c>
      <c r="E335" s="1" t="s">
        <v>120</v>
      </c>
      <c r="F335" s="1" t="s">
        <v>21</v>
      </c>
      <c r="G335" s="1" t="s">
        <v>140</v>
      </c>
      <c r="H335" s="1" t="s">
        <v>500</v>
      </c>
      <c r="I335" s="1" t="s">
        <v>209</v>
      </c>
      <c r="J335" s="1" t="s">
        <v>125</v>
      </c>
      <c r="K335" s="1" t="s">
        <v>109</v>
      </c>
      <c r="L335" s="1">
        <v>1980924</v>
      </c>
      <c r="M335" s="1" t="s">
        <v>536</v>
      </c>
      <c r="N335" s="5">
        <f t="shared" si="129"/>
        <v>42075</v>
      </c>
      <c r="O335" s="5">
        <f>DATE(2017,12,22)</f>
        <v>43091</v>
      </c>
      <c r="P335" s="5">
        <f t="shared" si="109"/>
        <v>44186</v>
      </c>
      <c r="Q335" s="1">
        <v>2280</v>
      </c>
      <c r="R335" s="1">
        <v>2000</v>
      </c>
      <c r="S335" s="1">
        <f t="shared" si="110"/>
        <v>2000</v>
      </c>
      <c r="T335" s="1">
        <v>1</v>
      </c>
      <c r="U335" s="1" t="str">
        <f t="shared" si="111"/>
        <v>NÃO</v>
      </c>
      <c r="V335" s="1">
        <f t="shared" si="112"/>
        <v>1017</v>
      </c>
      <c r="W335" s="4">
        <f t="shared" si="113"/>
        <v>1.9665683382497541</v>
      </c>
      <c r="X335" s="4">
        <f t="shared" si="114"/>
        <v>717.79744346116024</v>
      </c>
      <c r="Y335" s="4">
        <f t="shared" si="115"/>
        <v>0.89724680432645032</v>
      </c>
      <c r="AB335" s="5">
        <f t="shared" si="116"/>
        <v>45292</v>
      </c>
      <c r="AC335" s="5">
        <f t="shared" si="117"/>
        <v>45657</v>
      </c>
      <c r="AD335" s="1">
        <v>6</v>
      </c>
      <c r="AE335" s="1">
        <f t="shared" si="118"/>
        <v>0</v>
      </c>
      <c r="AF335" s="1">
        <f t="shared" si="119"/>
        <v>0</v>
      </c>
      <c r="AG335" s="1">
        <f t="shared" si="120"/>
        <v>0</v>
      </c>
      <c r="AH335" s="1">
        <f t="shared" si="121"/>
        <v>0</v>
      </c>
      <c r="AI335" s="1">
        <f t="shared" si="122"/>
        <v>183</v>
      </c>
      <c r="AJ335" s="3">
        <f t="shared" si="123"/>
        <v>0.5</v>
      </c>
      <c r="AK335" s="3">
        <f t="shared" si="124"/>
        <v>0.44862340216322516</v>
      </c>
      <c r="AL335" s="3">
        <f t="shared" si="125"/>
        <v>0</v>
      </c>
      <c r="AM335" s="3">
        <f t="shared" si="126"/>
        <v>0</v>
      </c>
      <c r="AN335" s="3">
        <f t="shared" si="127"/>
        <v>0</v>
      </c>
      <c r="AO335" s="3">
        <f t="shared" si="128"/>
        <v>0</v>
      </c>
      <c r="AP335" s="1" t="str">
        <f>INDEX({"EAD";"EAD";"EAD";"EAD MOOC";"EAD";"EAD";"EAD FP";"EAD";"PRESENCIAL";"PRESENCIAL";"PRESENCIAL";"PRESENCIAL"}, MATCH(CONCATENATE(E335, ".", F335),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36" spans="1:42" x14ac:dyDescent="0.25">
      <c r="A336" s="1" t="s">
        <v>27</v>
      </c>
      <c r="B336" s="1" t="s">
        <v>43</v>
      </c>
      <c r="C336" s="1" t="s">
        <v>29</v>
      </c>
      <c r="D336" s="1" t="s">
        <v>44</v>
      </c>
      <c r="E336" s="1" t="s">
        <v>170</v>
      </c>
      <c r="F336" s="1" t="s">
        <v>510</v>
      </c>
      <c r="G336" s="1" t="s">
        <v>140</v>
      </c>
      <c r="H336" s="1" t="s">
        <v>500</v>
      </c>
      <c r="I336" s="1" t="s">
        <v>209</v>
      </c>
      <c r="J336" s="1" t="s">
        <v>125</v>
      </c>
      <c r="K336" s="1" t="s">
        <v>109</v>
      </c>
      <c r="L336" s="1">
        <v>1982168</v>
      </c>
      <c r="M336" s="1" t="s">
        <v>536</v>
      </c>
      <c r="N336" s="5">
        <f t="shared" si="129"/>
        <v>42075</v>
      </c>
      <c r="O336" s="5">
        <f>DATE(2017,12,22)</f>
        <v>43091</v>
      </c>
      <c r="P336" s="5">
        <f t="shared" si="109"/>
        <v>44186</v>
      </c>
      <c r="Q336" s="1">
        <v>2340</v>
      </c>
      <c r="R336" s="1">
        <v>2000</v>
      </c>
      <c r="S336" s="1">
        <f t="shared" si="110"/>
        <v>2000</v>
      </c>
      <c r="T336" s="1">
        <v>1</v>
      </c>
      <c r="U336" s="1" t="str">
        <f t="shared" si="111"/>
        <v>NÃO</v>
      </c>
      <c r="V336" s="1">
        <f t="shared" si="112"/>
        <v>1017</v>
      </c>
      <c r="W336" s="4">
        <f t="shared" si="113"/>
        <v>1.9665683382497541</v>
      </c>
      <c r="X336" s="4">
        <f t="shared" si="114"/>
        <v>717.79744346116024</v>
      </c>
      <c r="Y336" s="4">
        <f t="shared" si="115"/>
        <v>0.89724680432645032</v>
      </c>
      <c r="AB336" s="5">
        <f t="shared" si="116"/>
        <v>45292</v>
      </c>
      <c r="AC336" s="5">
        <f t="shared" si="117"/>
        <v>45657</v>
      </c>
      <c r="AE336" s="1">
        <f t="shared" si="118"/>
        <v>0</v>
      </c>
      <c r="AF336" s="1">
        <f t="shared" si="119"/>
        <v>0</v>
      </c>
      <c r="AG336" s="1">
        <f t="shared" si="120"/>
        <v>0</v>
      </c>
      <c r="AH336" s="1">
        <f t="shared" si="121"/>
        <v>0</v>
      </c>
      <c r="AI336" s="1">
        <f t="shared" si="122"/>
        <v>183</v>
      </c>
      <c r="AJ336" s="3">
        <f t="shared" si="123"/>
        <v>0.5</v>
      </c>
      <c r="AK336" s="3">
        <f t="shared" si="124"/>
        <v>0.44862340216322516</v>
      </c>
      <c r="AL336" s="3">
        <f t="shared" si="125"/>
        <v>0</v>
      </c>
      <c r="AM336" s="3">
        <f t="shared" si="126"/>
        <v>0</v>
      </c>
      <c r="AN336" s="3">
        <f t="shared" si="127"/>
        <v>0</v>
      </c>
      <c r="AO336" s="3">
        <f t="shared" si="128"/>
        <v>0</v>
      </c>
      <c r="AP336" s="1" t="str">
        <f>INDEX({"EAD";"EAD";"EAD";"EAD MOOC";"EAD";"EAD";"EAD FP";"EAD";"PRESENCIAL";"PRESENCIAL";"PRESENCIAL";"PRESENCIAL"}, MATCH(CONCATENATE(E336, ".", F336),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337" spans="1:42" x14ac:dyDescent="0.25">
      <c r="A337" s="1" t="s">
        <v>27</v>
      </c>
      <c r="B337" s="1" t="s">
        <v>43</v>
      </c>
      <c r="C337" s="1" t="s">
        <v>29</v>
      </c>
      <c r="D337" s="1" t="s">
        <v>44</v>
      </c>
      <c r="E337" s="1" t="s">
        <v>120</v>
      </c>
      <c r="F337" s="1" t="s">
        <v>21</v>
      </c>
      <c r="G337" s="1" t="s">
        <v>121</v>
      </c>
      <c r="H337" s="1" t="s">
        <v>537</v>
      </c>
      <c r="I337" s="1" t="s">
        <v>187</v>
      </c>
      <c r="J337" s="1" t="s">
        <v>125</v>
      </c>
      <c r="K337" s="1" t="s">
        <v>109</v>
      </c>
      <c r="L337" s="1">
        <v>2003819</v>
      </c>
      <c r="M337" s="1" t="s">
        <v>538</v>
      </c>
      <c r="N337" s="5">
        <f>DATE(2015,8,10)</f>
        <v>42226</v>
      </c>
      <c r="O337" s="5">
        <f>DATE(2019,6,14)</f>
        <v>43630</v>
      </c>
      <c r="P337" s="5">
        <f t="shared" si="109"/>
        <v>44725</v>
      </c>
      <c r="Q337" s="1">
        <v>4415</v>
      </c>
      <c r="R337" s="1">
        <v>2400</v>
      </c>
      <c r="S337" s="1">
        <f t="shared" si="110"/>
        <v>2400</v>
      </c>
      <c r="T337" s="1">
        <v>1</v>
      </c>
      <c r="U337" s="1" t="str">
        <f t="shared" si="111"/>
        <v>NÃO</v>
      </c>
      <c r="V337" s="1">
        <f t="shared" si="112"/>
        <v>1405</v>
      </c>
      <c r="W337" s="4">
        <f t="shared" si="113"/>
        <v>1.708185053380783</v>
      </c>
      <c r="X337" s="4">
        <f t="shared" si="114"/>
        <v>623.48754448398574</v>
      </c>
      <c r="Y337" s="4">
        <f t="shared" si="115"/>
        <v>0.77935943060498214</v>
      </c>
      <c r="AB337" s="5">
        <f t="shared" si="116"/>
        <v>45292</v>
      </c>
      <c r="AC337" s="5">
        <f t="shared" si="117"/>
        <v>45657</v>
      </c>
      <c r="AD337" s="1">
        <v>4</v>
      </c>
      <c r="AE337" s="1">
        <f t="shared" si="118"/>
        <v>0</v>
      </c>
      <c r="AF337" s="1">
        <f t="shared" si="119"/>
        <v>0</v>
      </c>
      <c r="AG337" s="1">
        <f t="shared" si="120"/>
        <v>0</v>
      </c>
      <c r="AH337" s="1">
        <f t="shared" si="121"/>
        <v>0</v>
      </c>
      <c r="AI337" s="1">
        <f t="shared" si="122"/>
        <v>183</v>
      </c>
      <c r="AJ337" s="3">
        <f t="shared" si="123"/>
        <v>0.5</v>
      </c>
      <c r="AK337" s="3">
        <f t="shared" si="124"/>
        <v>0.38967971530249107</v>
      </c>
      <c r="AL337" s="3">
        <f t="shared" si="125"/>
        <v>0</v>
      </c>
      <c r="AM337" s="3">
        <f t="shared" si="126"/>
        <v>0</v>
      </c>
      <c r="AN337" s="3">
        <f t="shared" si="127"/>
        <v>0</v>
      </c>
      <c r="AO337" s="3">
        <f t="shared" si="128"/>
        <v>0</v>
      </c>
      <c r="AP337" s="1" t="str">
        <f>INDEX({"EAD";"EAD";"EAD";"EAD MOOC";"EAD";"EAD";"EAD FP";"EAD";"PRESENCIAL";"PRESENCIAL";"PRESENCIAL";"PRESENCIAL"}, MATCH(CONCATENATE(E337, ".", F337),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38" spans="1:42" x14ac:dyDescent="0.25">
      <c r="A338" s="1" t="s">
        <v>27</v>
      </c>
      <c r="B338" s="1" t="s">
        <v>43</v>
      </c>
      <c r="C338" s="1" t="s">
        <v>29</v>
      </c>
      <c r="D338" s="1" t="s">
        <v>44</v>
      </c>
      <c r="E338" s="1" t="s">
        <v>170</v>
      </c>
      <c r="F338" s="1" t="s">
        <v>510</v>
      </c>
      <c r="G338" s="1" t="s">
        <v>140</v>
      </c>
      <c r="H338" s="1" t="s">
        <v>500</v>
      </c>
      <c r="I338" s="1" t="s">
        <v>209</v>
      </c>
      <c r="J338" s="1" t="s">
        <v>125</v>
      </c>
      <c r="K338" s="1" t="s">
        <v>109</v>
      </c>
      <c r="L338" s="1">
        <v>2001881</v>
      </c>
      <c r="M338" s="1" t="s">
        <v>539</v>
      </c>
      <c r="N338" s="5">
        <f>DATE(2015,11,4)</f>
        <v>42312</v>
      </c>
      <c r="O338" s="5">
        <f>DATE(2018,7,20)</f>
        <v>43301</v>
      </c>
      <c r="P338" s="5">
        <f t="shared" si="109"/>
        <v>44396</v>
      </c>
      <c r="Q338" s="1">
        <v>2340</v>
      </c>
      <c r="R338" s="1">
        <v>2000</v>
      </c>
      <c r="S338" s="1">
        <f t="shared" si="110"/>
        <v>2000</v>
      </c>
      <c r="T338" s="1">
        <v>1</v>
      </c>
      <c r="U338" s="1" t="str">
        <f t="shared" si="111"/>
        <v>NÃO</v>
      </c>
      <c r="V338" s="1">
        <f t="shared" si="112"/>
        <v>990</v>
      </c>
      <c r="W338" s="4">
        <f t="shared" si="113"/>
        <v>2.0202020202020203</v>
      </c>
      <c r="X338" s="4">
        <f t="shared" si="114"/>
        <v>737.37373737373741</v>
      </c>
      <c r="Y338" s="4">
        <f t="shared" si="115"/>
        <v>0.92171717171717171</v>
      </c>
      <c r="AB338" s="5">
        <f t="shared" si="116"/>
        <v>45292</v>
      </c>
      <c r="AC338" s="5">
        <f t="shared" si="117"/>
        <v>45657</v>
      </c>
      <c r="AE338" s="1">
        <f t="shared" si="118"/>
        <v>0</v>
      </c>
      <c r="AF338" s="1">
        <f t="shared" si="119"/>
        <v>0</v>
      </c>
      <c r="AG338" s="1">
        <f t="shared" si="120"/>
        <v>0</v>
      </c>
      <c r="AH338" s="1">
        <f t="shared" si="121"/>
        <v>0</v>
      </c>
      <c r="AI338" s="1">
        <f t="shared" si="122"/>
        <v>183</v>
      </c>
      <c r="AJ338" s="3">
        <f t="shared" si="123"/>
        <v>0.5</v>
      </c>
      <c r="AK338" s="3">
        <f t="shared" si="124"/>
        <v>0.46085858585858586</v>
      </c>
      <c r="AL338" s="3">
        <f t="shared" si="125"/>
        <v>0</v>
      </c>
      <c r="AM338" s="3">
        <f t="shared" si="126"/>
        <v>0</v>
      </c>
      <c r="AN338" s="3">
        <f t="shared" si="127"/>
        <v>0</v>
      </c>
      <c r="AO338" s="3">
        <f t="shared" si="128"/>
        <v>0</v>
      </c>
      <c r="AP338" s="1" t="str">
        <f>INDEX({"EAD";"EAD";"EAD";"EAD MOOC";"EAD";"EAD";"EAD FP";"EAD";"PRESENCIAL";"PRESENCIAL";"PRESENCIAL";"PRESENCIAL"}, MATCH(CONCATENATE(E338, ".", F338),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339" spans="1:42" x14ac:dyDescent="0.25">
      <c r="A339" s="1" t="s">
        <v>27</v>
      </c>
      <c r="B339" s="1" t="s">
        <v>43</v>
      </c>
      <c r="C339" s="1" t="s">
        <v>29</v>
      </c>
      <c r="D339" s="1" t="s">
        <v>44</v>
      </c>
      <c r="E339" s="1" t="s">
        <v>120</v>
      </c>
      <c r="F339" s="1" t="s">
        <v>21</v>
      </c>
      <c r="G339" s="1" t="s">
        <v>140</v>
      </c>
      <c r="H339" s="1" t="s">
        <v>502</v>
      </c>
      <c r="I339" s="1" t="s">
        <v>503</v>
      </c>
      <c r="J339" s="1" t="s">
        <v>125</v>
      </c>
      <c r="K339" s="1" t="s">
        <v>109</v>
      </c>
      <c r="L339" s="1">
        <v>2003815</v>
      </c>
      <c r="M339" s="1" t="s">
        <v>540</v>
      </c>
      <c r="N339" s="5">
        <f>DATE(2015,11,26)</f>
        <v>42334</v>
      </c>
      <c r="O339" s="5">
        <f>DATE(2018,12,23)</f>
        <v>43457</v>
      </c>
      <c r="P339" s="5">
        <f t="shared" si="109"/>
        <v>44552</v>
      </c>
      <c r="Q339" s="1">
        <v>2406</v>
      </c>
      <c r="R339" s="1">
        <v>2400</v>
      </c>
      <c r="S339" s="1">
        <f t="shared" si="110"/>
        <v>2400</v>
      </c>
      <c r="T339" s="1">
        <v>2.5</v>
      </c>
      <c r="U339" s="1" t="str">
        <f t="shared" si="111"/>
        <v>NÃO</v>
      </c>
      <c r="V339" s="1">
        <f t="shared" si="112"/>
        <v>1124</v>
      </c>
      <c r="W339" s="4">
        <f t="shared" si="113"/>
        <v>2.1352313167259784</v>
      </c>
      <c r="X339" s="4">
        <f t="shared" si="114"/>
        <v>779.35943060498209</v>
      </c>
      <c r="Y339" s="4">
        <f t="shared" si="115"/>
        <v>0.97419928825622759</v>
      </c>
      <c r="AB339" s="5">
        <f t="shared" si="116"/>
        <v>45292</v>
      </c>
      <c r="AC339" s="5">
        <f t="shared" si="117"/>
        <v>45657</v>
      </c>
      <c r="AD339" s="1">
        <v>4</v>
      </c>
      <c r="AE339" s="1">
        <f t="shared" si="118"/>
        <v>0</v>
      </c>
      <c r="AF339" s="1">
        <f t="shared" si="119"/>
        <v>0</v>
      </c>
      <c r="AG339" s="1">
        <f t="shared" si="120"/>
        <v>0</v>
      </c>
      <c r="AH339" s="1">
        <f t="shared" si="121"/>
        <v>0</v>
      </c>
      <c r="AI339" s="1">
        <f t="shared" si="122"/>
        <v>183</v>
      </c>
      <c r="AJ339" s="3">
        <f t="shared" si="123"/>
        <v>0.5</v>
      </c>
      <c r="AK339" s="3">
        <f t="shared" si="124"/>
        <v>0.4870996441281138</v>
      </c>
      <c r="AL339" s="3">
        <f t="shared" si="125"/>
        <v>0</v>
      </c>
      <c r="AM339" s="3">
        <f t="shared" si="126"/>
        <v>0</v>
      </c>
      <c r="AN339" s="3">
        <f t="shared" si="127"/>
        <v>0</v>
      </c>
      <c r="AO339" s="3">
        <f t="shared" si="128"/>
        <v>0</v>
      </c>
      <c r="AP339" s="1" t="str">
        <f>INDEX({"EAD";"EAD";"EAD";"EAD MOOC";"EAD";"EAD";"EAD FP";"EAD";"PRESENCIAL";"PRESENCIAL";"PRESENCIAL";"PRESENCIAL"}, MATCH(CONCATENATE(E339, ".", F339),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40" spans="1:42" x14ac:dyDescent="0.25">
      <c r="A340" s="1" t="s">
        <v>27</v>
      </c>
      <c r="B340" s="1" t="s">
        <v>43</v>
      </c>
      <c r="C340" s="1" t="s">
        <v>29</v>
      </c>
      <c r="D340" s="1" t="s">
        <v>44</v>
      </c>
      <c r="E340" s="1" t="s">
        <v>120</v>
      </c>
      <c r="F340" s="1" t="s">
        <v>21</v>
      </c>
      <c r="G340" s="1" t="s">
        <v>121</v>
      </c>
      <c r="H340" s="1" t="s">
        <v>495</v>
      </c>
      <c r="I340" s="1" t="s">
        <v>124</v>
      </c>
      <c r="J340" s="1" t="s">
        <v>125</v>
      </c>
      <c r="K340" s="1" t="s">
        <v>109</v>
      </c>
      <c r="L340" s="1">
        <v>2003816</v>
      </c>
      <c r="M340" s="1" t="s">
        <v>541</v>
      </c>
      <c r="N340" s="5">
        <f>DATE(2015,11,26)</f>
        <v>42334</v>
      </c>
      <c r="O340" s="5">
        <f>DATE(2018,8,17)</f>
        <v>43329</v>
      </c>
      <c r="P340" s="5">
        <f t="shared" si="109"/>
        <v>44424</v>
      </c>
      <c r="Q340" s="1">
        <v>2587</v>
      </c>
      <c r="R340" s="1">
        <v>2400</v>
      </c>
      <c r="S340" s="1">
        <f t="shared" si="110"/>
        <v>2400</v>
      </c>
      <c r="T340" s="1">
        <v>1</v>
      </c>
      <c r="U340" s="1" t="str">
        <f t="shared" si="111"/>
        <v>NÃO</v>
      </c>
      <c r="V340" s="1">
        <f t="shared" si="112"/>
        <v>996</v>
      </c>
      <c r="W340" s="4">
        <f t="shared" si="113"/>
        <v>2.4096385542168677</v>
      </c>
      <c r="X340" s="4">
        <f t="shared" si="114"/>
        <v>879.51807228915675</v>
      </c>
      <c r="Y340" s="4">
        <f t="shared" si="115"/>
        <v>1.0993975903614459</v>
      </c>
      <c r="AB340" s="5">
        <f t="shared" si="116"/>
        <v>45292</v>
      </c>
      <c r="AC340" s="5">
        <f t="shared" si="117"/>
        <v>45657</v>
      </c>
      <c r="AD340" s="1">
        <v>4</v>
      </c>
      <c r="AE340" s="1">
        <f t="shared" si="118"/>
        <v>0</v>
      </c>
      <c r="AF340" s="1">
        <f t="shared" si="119"/>
        <v>0</v>
      </c>
      <c r="AG340" s="1">
        <f t="shared" si="120"/>
        <v>0</v>
      </c>
      <c r="AH340" s="1">
        <f t="shared" si="121"/>
        <v>0</v>
      </c>
      <c r="AI340" s="1">
        <f t="shared" si="122"/>
        <v>183</v>
      </c>
      <c r="AJ340" s="3">
        <f t="shared" si="123"/>
        <v>0.5</v>
      </c>
      <c r="AK340" s="3">
        <f t="shared" si="124"/>
        <v>0.54969879518072295</v>
      </c>
      <c r="AL340" s="3">
        <f t="shared" si="125"/>
        <v>0</v>
      </c>
      <c r="AM340" s="3">
        <f t="shared" si="126"/>
        <v>0</v>
      </c>
      <c r="AN340" s="3">
        <f t="shared" si="127"/>
        <v>0</v>
      </c>
      <c r="AO340" s="3">
        <f t="shared" si="128"/>
        <v>0</v>
      </c>
      <c r="AP340" s="1" t="str">
        <f>INDEX({"EAD";"EAD";"EAD";"EAD MOOC";"EAD";"EAD";"EAD FP";"EAD";"PRESENCIAL";"PRESENCIAL";"PRESENCIAL";"PRESENCIAL"}, MATCH(CONCATENATE(E340, ".", F340),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41" spans="1:42" x14ac:dyDescent="0.25">
      <c r="A341" s="1" t="s">
        <v>27</v>
      </c>
      <c r="B341" s="1" t="s">
        <v>43</v>
      </c>
      <c r="C341" s="1" t="s">
        <v>29</v>
      </c>
      <c r="D341" s="1" t="s">
        <v>44</v>
      </c>
      <c r="E341" s="1" t="s">
        <v>120</v>
      </c>
      <c r="F341" s="1" t="s">
        <v>21</v>
      </c>
      <c r="G341" s="1" t="s">
        <v>121</v>
      </c>
      <c r="H341" s="1" t="s">
        <v>508</v>
      </c>
      <c r="I341" s="1" t="s">
        <v>503</v>
      </c>
      <c r="J341" s="1" t="s">
        <v>125</v>
      </c>
      <c r="K341" s="1" t="s">
        <v>109</v>
      </c>
      <c r="L341" s="1">
        <v>2003817</v>
      </c>
      <c r="M341" s="1" t="s">
        <v>542</v>
      </c>
      <c r="N341" s="5">
        <f>DATE(2015,11,26)</f>
        <v>42334</v>
      </c>
      <c r="O341" s="5">
        <f>DATE(2020,8,14)</f>
        <v>44057</v>
      </c>
      <c r="P341" s="5">
        <f t="shared" si="109"/>
        <v>45152</v>
      </c>
      <c r="Q341" s="1">
        <v>4610</v>
      </c>
      <c r="R341" s="1">
        <v>3600</v>
      </c>
      <c r="S341" s="1">
        <f t="shared" si="110"/>
        <v>3600</v>
      </c>
      <c r="T341" s="1">
        <v>2.5</v>
      </c>
      <c r="U341" s="1" t="str">
        <f t="shared" si="111"/>
        <v>NÃO</v>
      </c>
      <c r="V341" s="1">
        <f t="shared" si="112"/>
        <v>1724</v>
      </c>
      <c r="W341" s="4">
        <f t="shared" si="113"/>
        <v>2.0881670533642693</v>
      </c>
      <c r="X341" s="4">
        <f t="shared" si="114"/>
        <v>762.18097447795833</v>
      </c>
      <c r="Y341" s="4">
        <f t="shared" si="115"/>
        <v>0.95272621809744795</v>
      </c>
      <c r="AB341" s="5">
        <f t="shared" si="116"/>
        <v>45292</v>
      </c>
      <c r="AC341" s="5">
        <f t="shared" si="117"/>
        <v>45657</v>
      </c>
      <c r="AD341" s="1">
        <v>4</v>
      </c>
      <c r="AE341" s="1">
        <f t="shared" si="118"/>
        <v>0</v>
      </c>
      <c r="AF341" s="1">
        <f t="shared" si="119"/>
        <v>0</v>
      </c>
      <c r="AG341" s="1">
        <f t="shared" si="120"/>
        <v>0</v>
      </c>
      <c r="AH341" s="1">
        <f t="shared" si="121"/>
        <v>0</v>
      </c>
      <c r="AI341" s="1">
        <f t="shared" si="122"/>
        <v>183</v>
      </c>
      <c r="AJ341" s="3">
        <f t="shared" si="123"/>
        <v>0.5</v>
      </c>
      <c r="AK341" s="3">
        <f t="shared" si="124"/>
        <v>0.47636310904872398</v>
      </c>
      <c r="AL341" s="3">
        <f t="shared" si="125"/>
        <v>0</v>
      </c>
      <c r="AM341" s="3">
        <f t="shared" si="126"/>
        <v>0</v>
      </c>
      <c r="AN341" s="3">
        <f t="shared" si="127"/>
        <v>0</v>
      </c>
      <c r="AO341" s="3">
        <f t="shared" si="128"/>
        <v>0</v>
      </c>
      <c r="AP341" s="1" t="str">
        <f>INDEX({"EAD";"EAD";"EAD";"EAD MOOC";"EAD";"EAD";"EAD FP";"EAD";"PRESENCIAL";"PRESENCIAL";"PRESENCIAL";"PRESENCIAL"}, MATCH(CONCATENATE(E341, ".", F341),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42" spans="1:42" x14ac:dyDescent="0.25">
      <c r="A342" s="1" t="s">
        <v>27</v>
      </c>
      <c r="B342" s="1" t="s">
        <v>43</v>
      </c>
      <c r="C342" s="1" t="s">
        <v>29</v>
      </c>
      <c r="D342" s="1" t="s">
        <v>44</v>
      </c>
      <c r="E342" s="1" t="s">
        <v>120</v>
      </c>
      <c r="F342" s="1" t="s">
        <v>21</v>
      </c>
      <c r="G342" s="1" t="s">
        <v>121</v>
      </c>
      <c r="H342" s="1" t="s">
        <v>508</v>
      </c>
      <c r="I342" s="1" t="s">
        <v>503</v>
      </c>
      <c r="J342" s="1" t="s">
        <v>125</v>
      </c>
      <c r="K342" s="1" t="s">
        <v>109</v>
      </c>
      <c r="L342" s="1">
        <v>2021419</v>
      </c>
      <c r="M342" s="1" t="s">
        <v>543</v>
      </c>
      <c r="N342" s="5">
        <f t="shared" ref="N342:N350" si="130">DATE(2016,5,12)</f>
        <v>42502</v>
      </c>
      <c r="O342" s="5">
        <f>DATE(2020,12,23)</f>
        <v>44188</v>
      </c>
      <c r="P342" s="5">
        <f t="shared" si="109"/>
        <v>45283</v>
      </c>
      <c r="Q342" s="1">
        <v>4610</v>
      </c>
      <c r="R342" s="1">
        <v>3600</v>
      </c>
      <c r="S342" s="1">
        <f t="shared" si="110"/>
        <v>3600</v>
      </c>
      <c r="T342" s="1">
        <v>2.5</v>
      </c>
      <c r="U342" s="1" t="str">
        <f t="shared" si="111"/>
        <v>NÃO</v>
      </c>
      <c r="V342" s="1">
        <f t="shared" si="112"/>
        <v>1687</v>
      </c>
      <c r="W342" s="4">
        <f t="shared" si="113"/>
        <v>2.1339656194427978</v>
      </c>
      <c r="X342" s="4">
        <f t="shared" si="114"/>
        <v>778.89745109662124</v>
      </c>
      <c r="Y342" s="4">
        <f t="shared" si="115"/>
        <v>0.97362181387077651</v>
      </c>
      <c r="AB342" s="5">
        <f t="shared" si="116"/>
        <v>45292</v>
      </c>
      <c r="AC342" s="5">
        <f t="shared" si="117"/>
        <v>45657</v>
      </c>
      <c r="AD342" s="1">
        <v>9</v>
      </c>
      <c r="AE342" s="1">
        <f t="shared" si="118"/>
        <v>0</v>
      </c>
      <c r="AF342" s="1">
        <f t="shared" si="119"/>
        <v>0</v>
      </c>
      <c r="AG342" s="1">
        <f t="shared" si="120"/>
        <v>0</v>
      </c>
      <c r="AH342" s="1">
        <f t="shared" si="121"/>
        <v>0</v>
      </c>
      <c r="AI342" s="1">
        <f t="shared" si="122"/>
        <v>183</v>
      </c>
      <c r="AJ342" s="3">
        <f t="shared" si="123"/>
        <v>0.5</v>
      </c>
      <c r="AK342" s="3">
        <f t="shared" si="124"/>
        <v>0.48681090693538825</v>
      </c>
      <c r="AL342" s="3">
        <f t="shared" si="125"/>
        <v>0</v>
      </c>
      <c r="AM342" s="3">
        <f t="shared" si="126"/>
        <v>0</v>
      </c>
      <c r="AN342" s="3">
        <f t="shared" si="127"/>
        <v>0</v>
      </c>
      <c r="AO342" s="3">
        <f t="shared" si="128"/>
        <v>0</v>
      </c>
      <c r="AP342" s="1" t="str">
        <f>INDEX({"EAD";"EAD";"EAD";"EAD MOOC";"EAD";"EAD";"EAD FP";"EAD";"PRESENCIAL";"PRESENCIAL";"PRESENCIAL";"PRESENCIAL"}, MATCH(CONCATENATE(E342, ".", F342),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43" spans="1:42" x14ac:dyDescent="0.25">
      <c r="A343" s="1" t="s">
        <v>27</v>
      </c>
      <c r="B343" s="1" t="s">
        <v>43</v>
      </c>
      <c r="C343" s="1" t="s">
        <v>29</v>
      </c>
      <c r="D343" s="1" t="s">
        <v>44</v>
      </c>
      <c r="E343" s="1" t="s">
        <v>120</v>
      </c>
      <c r="F343" s="1" t="s">
        <v>21</v>
      </c>
      <c r="G343" s="1" t="s">
        <v>121</v>
      </c>
      <c r="H343" s="1" t="s">
        <v>506</v>
      </c>
      <c r="I343" s="1" t="s">
        <v>209</v>
      </c>
      <c r="J343" s="1" t="s">
        <v>125</v>
      </c>
      <c r="K343" s="1" t="s">
        <v>109</v>
      </c>
      <c r="L343" s="1">
        <v>2021421</v>
      </c>
      <c r="M343" s="1" t="s">
        <v>544</v>
      </c>
      <c r="N343" s="5">
        <f t="shared" si="130"/>
        <v>42502</v>
      </c>
      <c r="O343" s="5">
        <f>DATE(2020,12,23)</f>
        <v>44188</v>
      </c>
      <c r="P343" s="5">
        <f t="shared" si="109"/>
        <v>45283</v>
      </c>
      <c r="Q343" s="1">
        <v>4430</v>
      </c>
      <c r="R343" s="1">
        <v>3200</v>
      </c>
      <c r="S343" s="1">
        <f t="shared" si="110"/>
        <v>3200</v>
      </c>
      <c r="T343" s="1">
        <v>2.5</v>
      </c>
      <c r="U343" s="1" t="str">
        <f t="shared" si="111"/>
        <v>NÃO</v>
      </c>
      <c r="V343" s="1">
        <f t="shared" si="112"/>
        <v>1687</v>
      </c>
      <c r="W343" s="4">
        <f t="shared" si="113"/>
        <v>1.896858328393598</v>
      </c>
      <c r="X343" s="4">
        <f t="shared" si="114"/>
        <v>692.35328986366324</v>
      </c>
      <c r="Y343" s="4">
        <f t="shared" si="115"/>
        <v>0.86544161232957906</v>
      </c>
      <c r="AB343" s="5">
        <f t="shared" si="116"/>
        <v>45292</v>
      </c>
      <c r="AC343" s="5">
        <f t="shared" si="117"/>
        <v>45657</v>
      </c>
      <c r="AD343" s="1">
        <v>9</v>
      </c>
      <c r="AE343" s="1">
        <f t="shared" si="118"/>
        <v>0</v>
      </c>
      <c r="AF343" s="1">
        <f t="shared" si="119"/>
        <v>0</v>
      </c>
      <c r="AG343" s="1">
        <f t="shared" si="120"/>
        <v>0</v>
      </c>
      <c r="AH343" s="1">
        <f t="shared" si="121"/>
        <v>0</v>
      </c>
      <c r="AI343" s="1">
        <f t="shared" si="122"/>
        <v>183</v>
      </c>
      <c r="AJ343" s="3">
        <f t="shared" si="123"/>
        <v>0.5</v>
      </c>
      <c r="AK343" s="3">
        <f t="shared" si="124"/>
        <v>0.43272080616478953</v>
      </c>
      <c r="AL343" s="3">
        <f t="shared" si="125"/>
        <v>0</v>
      </c>
      <c r="AM343" s="3">
        <f t="shared" si="126"/>
        <v>0</v>
      </c>
      <c r="AN343" s="3">
        <f t="shared" si="127"/>
        <v>0</v>
      </c>
      <c r="AO343" s="3">
        <f t="shared" si="128"/>
        <v>0</v>
      </c>
      <c r="AP343" s="1" t="str">
        <f>INDEX({"EAD";"EAD";"EAD";"EAD MOOC";"EAD";"EAD";"EAD FP";"EAD";"PRESENCIAL";"PRESENCIAL";"PRESENCIAL";"PRESENCIAL"}, MATCH(CONCATENATE(E343, ".", F343),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44" spans="1:42" x14ac:dyDescent="0.25">
      <c r="A344" s="1" t="s">
        <v>27</v>
      </c>
      <c r="B344" s="1" t="s">
        <v>43</v>
      </c>
      <c r="C344" s="1" t="s">
        <v>29</v>
      </c>
      <c r="D344" s="1" t="s">
        <v>44</v>
      </c>
      <c r="E344" s="1" t="s">
        <v>120</v>
      </c>
      <c r="F344" s="1" t="s">
        <v>21</v>
      </c>
      <c r="G344" s="1" t="s">
        <v>121</v>
      </c>
      <c r="H344" s="1" t="s">
        <v>495</v>
      </c>
      <c r="I344" s="1" t="s">
        <v>124</v>
      </c>
      <c r="J344" s="1" t="s">
        <v>125</v>
      </c>
      <c r="K344" s="1" t="s">
        <v>109</v>
      </c>
      <c r="L344" s="1">
        <v>2021423</v>
      </c>
      <c r="M344" s="1" t="s">
        <v>545</v>
      </c>
      <c r="N344" s="5">
        <f t="shared" si="130"/>
        <v>42502</v>
      </c>
      <c r="O344" s="5">
        <f>DATE(2018,12,22)</f>
        <v>43456</v>
      </c>
      <c r="P344" s="5">
        <f t="shared" si="109"/>
        <v>44551</v>
      </c>
      <c r="Q344" s="1">
        <v>2587</v>
      </c>
      <c r="R344" s="1">
        <v>2400</v>
      </c>
      <c r="S344" s="1">
        <f t="shared" si="110"/>
        <v>2400</v>
      </c>
      <c r="T344" s="1">
        <v>1</v>
      </c>
      <c r="U344" s="1" t="str">
        <f t="shared" si="111"/>
        <v>NÃO</v>
      </c>
      <c r="V344" s="1">
        <f t="shared" si="112"/>
        <v>955</v>
      </c>
      <c r="W344" s="4">
        <f t="shared" si="113"/>
        <v>2.5130890052356021</v>
      </c>
      <c r="X344" s="4">
        <f t="shared" si="114"/>
        <v>917.27748691099475</v>
      </c>
      <c r="Y344" s="4">
        <f t="shared" si="115"/>
        <v>1.1465968586387434</v>
      </c>
      <c r="AB344" s="5">
        <f t="shared" si="116"/>
        <v>45292</v>
      </c>
      <c r="AC344" s="5">
        <f t="shared" si="117"/>
        <v>45657</v>
      </c>
      <c r="AD344" s="1">
        <v>3</v>
      </c>
      <c r="AE344" s="1">
        <f t="shared" si="118"/>
        <v>0</v>
      </c>
      <c r="AF344" s="1">
        <f t="shared" si="119"/>
        <v>0</v>
      </c>
      <c r="AG344" s="1">
        <f t="shared" si="120"/>
        <v>0</v>
      </c>
      <c r="AH344" s="1">
        <f t="shared" si="121"/>
        <v>0</v>
      </c>
      <c r="AI344" s="1">
        <f t="shared" si="122"/>
        <v>183</v>
      </c>
      <c r="AJ344" s="3">
        <f t="shared" si="123"/>
        <v>0.5</v>
      </c>
      <c r="AK344" s="3">
        <f t="shared" si="124"/>
        <v>0.57329842931937169</v>
      </c>
      <c r="AL344" s="3">
        <f t="shared" si="125"/>
        <v>0</v>
      </c>
      <c r="AM344" s="3">
        <f t="shared" si="126"/>
        <v>0</v>
      </c>
      <c r="AN344" s="3">
        <f t="shared" si="127"/>
        <v>0</v>
      </c>
      <c r="AO344" s="3">
        <f t="shared" si="128"/>
        <v>0</v>
      </c>
      <c r="AP344" s="1" t="str">
        <f>INDEX({"EAD";"EAD";"EAD";"EAD MOOC";"EAD";"EAD";"EAD FP";"EAD";"PRESENCIAL";"PRESENCIAL";"PRESENCIAL";"PRESENCIAL"}, MATCH(CONCATENATE(E344, ".", F344),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45" spans="1:42" x14ac:dyDescent="0.25">
      <c r="A345" s="1" t="s">
        <v>27</v>
      </c>
      <c r="B345" s="1" t="s">
        <v>43</v>
      </c>
      <c r="C345" s="1" t="s">
        <v>29</v>
      </c>
      <c r="D345" s="1" t="s">
        <v>44</v>
      </c>
      <c r="E345" s="1" t="s">
        <v>120</v>
      </c>
      <c r="F345" s="1" t="s">
        <v>21</v>
      </c>
      <c r="G345" s="1" t="s">
        <v>121</v>
      </c>
      <c r="H345" s="1" t="s">
        <v>537</v>
      </c>
      <c r="I345" s="1" t="s">
        <v>187</v>
      </c>
      <c r="J345" s="1" t="s">
        <v>125</v>
      </c>
      <c r="K345" s="1" t="s">
        <v>109</v>
      </c>
      <c r="L345" s="1">
        <v>2021424</v>
      </c>
      <c r="M345" s="1" t="s">
        <v>546</v>
      </c>
      <c r="N345" s="5">
        <f t="shared" si="130"/>
        <v>42502</v>
      </c>
      <c r="O345" s="5">
        <f>DATE(2018,12,22)</f>
        <v>43456</v>
      </c>
      <c r="P345" s="5">
        <f t="shared" si="109"/>
        <v>44551</v>
      </c>
      <c r="Q345" s="1">
        <v>2668</v>
      </c>
      <c r="R345" s="1">
        <v>2400</v>
      </c>
      <c r="S345" s="1">
        <f t="shared" si="110"/>
        <v>2400</v>
      </c>
      <c r="T345" s="1">
        <v>1</v>
      </c>
      <c r="U345" s="1" t="str">
        <f t="shared" si="111"/>
        <v>NÃO</v>
      </c>
      <c r="V345" s="1">
        <f t="shared" si="112"/>
        <v>955</v>
      </c>
      <c r="W345" s="4">
        <f t="shared" si="113"/>
        <v>2.5130890052356021</v>
      </c>
      <c r="X345" s="4">
        <f t="shared" si="114"/>
        <v>917.27748691099475</v>
      </c>
      <c r="Y345" s="4">
        <f t="shared" si="115"/>
        <v>1.1465968586387434</v>
      </c>
      <c r="AB345" s="5">
        <f t="shared" si="116"/>
        <v>45292</v>
      </c>
      <c r="AC345" s="5">
        <f t="shared" si="117"/>
        <v>45657</v>
      </c>
      <c r="AD345" s="1">
        <v>6</v>
      </c>
      <c r="AE345" s="1">
        <f t="shared" si="118"/>
        <v>0</v>
      </c>
      <c r="AF345" s="1">
        <f t="shared" si="119"/>
        <v>0</v>
      </c>
      <c r="AG345" s="1">
        <f t="shared" si="120"/>
        <v>0</v>
      </c>
      <c r="AH345" s="1">
        <f t="shared" si="121"/>
        <v>0</v>
      </c>
      <c r="AI345" s="1">
        <f t="shared" si="122"/>
        <v>183</v>
      </c>
      <c r="AJ345" s="3">
        <f t="shared" si="123"/>
        <v>0.5</v>
      </c>
      <c r="AK345" s="3">
        <f t="shared" si="124"/>
        <v>0.57329842931937169</v>
      </c>
      <c r="AL345" s="3">
        <f t="shared" si="125"/>
        <v>0</v>
      </c>
      <c r="AM345" s="3">
        <f t="shared" si="126"/>
        <v>0</v>
      </c>
      <c r="AN345" s="3">
        <f t="shared" si="127"/>
        <v>0</v>
      </c>
      <c r="AO345" s="3">
        <f t="shared" si="128"/>
        <v>0</v>
      </c>
      <c r="AP345" s="1" t="str">
        <f>INDEX({"EAD";"EAD";"EAD";"EAD MOOC";"EAD";"EAD";"EAD FP";"EAD";"PRESENCIAL";"PRESENCIAL";"PRESENCIAL";"PRESENCIAL"}, MATCH(CONCATENATE(E345, ".", F345),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46" spans="1:42" x14ac:dyDescent="0.25">
      <c r="A346" s="1" t="s">
        <v>27</v>
      </c>
      <c r="B346" s="1" t="s">
        <v>43</v>
      </c>
      <c r="C346" s="1" t="s">
        <v>29</v>
      </c>
      <c r="D346" s="1" t="s">
        <v>44</v>
      </c>
      <c r="E346" s="1" t="s">
        <v>120</v>
      </c>
      <c r="F346" s="1" t="s">
        <v>21</v>
      </c>
      <c r="G346" s="1" t="s">
        <v>140</v>
      </c>
      <c r="H346" s="1" t="s">
        <v>502</v>
      </c>
      <c r="I346" s="1" t="s">
        <v>503</v>
      </c>
      <c r="J346" s="1" t="s">
        <v>125</v>
      </c>
      <c r="K346" s="1" t="s">
        <v>109</v>
      </c>
      <c r="L346" s="1">
        <v>2021426</v>
      </c>
      <c r="M346" s="1" t="s">
        <v>547</v>
      </c>
      <c r="N346" s="5">
        <f t="shared" si="130"/>
        <v>42502</v>
      </c>
      <c r="O346" s="5">
        <f>DATE(2019,7,19)</f>
        <v>43665</v>
      </c>
      <c r="P346" s="5">
        <f t="shared" si="109"/>
        <v>44760</v>
      </c>
      <c r="Q346" s="1">
        <v>2406</v>
      </c>
      <c r="R346" s="1">
        <v>2400</v>
      </c>
      <c r="S346" s="1">
        <f t="shared" si="110"/>
        <v>2400</v>
      </c>
      <c r="T346" s="1">
        <v>2.5</v>
      </c>
      <c r="U346" s="1" t="str">
        <f t="shared" si="111"/>
        <v>NÃO</v>
      </c>
      <c r="V346" s="1">
        <f t="shared" si="112"/>
        <v>1164</v>
      </c>
      <c r="W346" s="4">
        <f t="shared" si="113"/>
        <v>2.0618556701030926</v>
      </c>
      <c r="X346" s="4">
        <f t="shared" si="114"/>
        <v>752.57731958762884</v>
      </c>
      <c r="Y346" s="4">
        <f t="shared" si="115"/>
        <v>0.94072164948453607</v>
      </c>
      <c r="AB346" s="5">
        <f t="shared" si="116"/>
        <v>45292</v>
      </c>
      <c r="AC346" s="5">
        <f t="shared" si="117"/>
        <v>45657</v>
      </c>
      <c r="AE346" s="1">
        <f t="shared" si="118"/>
        <v>0</v>
      </c>
      <c r="AF346" s="1">
        <f t="shared" si="119"/>
        <v>0</v>
      </c>
      <c r="AG346" s="1">
        <f t="shared" si="120"/>
        <v>0</v>
      </c>
      <c r="AH346" s="1">
        <f t="shared" si="121"/>
        <v>0</v>
      </c>
      <c r="AI346" s="1">
        <f t="shared" si="122"/>
        <v>183</v>
      </c>
      <c r="AJ346" s="3">
        <f t="shared" si="123"/>
        <v>0.5</v>
      </c>
      <c r="AK346" s="3">
        <f t="shared" si="124"/>
        <v>0.47036082474226804</v>
      </c>
      <c r="AL346" s="3">
        <f t="shared" si="125"/>
        <v>0</v>
      </c>
      <c r="AM346" s="3">
        <f t="shared" si="126"/>
        <v>0</v>
      </c>
      <c r="AN346" s="3">
        <f t="shared" si="127"/>
        <v>0</v>
      </c>
      <c r="AO346" s="3">
        <f t="shared" si="128"/>
        <v>0</v>
      </c>
      <c r="AP346" s="1" t="str">
        <f>INDEX({"EAD";"EAD";"EAD";"EAD MOOC";"EAD";"EAD";"EAD FP";"EAD";"PRESENCIAL";"PRESENCIAL";"PRESENCIAL";"PRESENCIAL"}, MATCH(CONCATENATE(E346, ".", F346),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47" spans="1:42" x14ac:dyDescent="0.25">
      <c r="A347" s="1" t="s">
        <v>27</v>
      </c>
      <c r="B347" s="1" t="s">
        <v>43</v>
      </c>
      <c r="C347" s="1" t="s">
        <v>29</v>
      </c>
      <c r="D347" s="1" t="s">
        <v>44</v>
      </c>
      <c r="E347" s="1" t="s">
        <v>120</v>
      </c>
      <c r="F347" s="1" t="s">
        <v>21</v>
      </c>
      <c r="G347" s="1" t="s">
        <v>140</v>
      </c>
      <c r="H347" s="1" t="s">
        <v>498</v>
      </c>
      <c r="I347" s="1" t="s">
        <v>289</v>
      </c>
      <c r="J347" s="1" t="s">
        <v>125</v>
      </c>
      <c r="K347" s="1" t="s">
        <v>109</v>
      </c>
      <c r="L347" s="1">
        <v>2021427</v>
      </c>
      <c r="M347" s="1" t="s">
        <v>548</v>
      </c>
      <c r="N347" s="5">
        <f t="shared" si="130"/>
        <v>42502</v>
      </c>
      <c r="O347" s="5">
        <f>DATE(2018,12,22)</f>
        <v>43456</v>
      </c>
      <c r="P347" s="5">
        <f t="shared" si="109"/>
        <v>44551</v>
      </c>
      <c r="Q347" s="1">
        <v>2416</v>
      </c>
      <c r="R347" s="1">
        <v>2400</v>
      </c>
      <c r="S347" s="1">
        <f t="shared" si="110"/>
        <v>2400</v>
      </c>
      <c r="T347" s="1">
        <v>2.5</v>
      </c>
      <c r="U347" s="1" t="str">
        <f t="shared" si="111"/>
        <v>NÃO</v>
      </c>
      <c r="V347" s="1">
        <f t="shared" si="112"/>
        <v>955</v>
      </c>
      <c r="W347" s="4">
        <f t="shared" si="113"/>
        <v>2.5130890052356021</v>
      </c>
      <c r="X347" s="4">
        <f t="shared" si="114"/>
        <v>917.27748691099475</v>
      </c>
      <c r="Y347" s="4">
        <f t="shared" si="115"/>
        <v>1.1465968586387434</v>
      </c>
      <c r="AB347" s="5">
        <f t="shared" si="116"/>
        <v>45292</v>
      </c>
      <c r="AC347" s="5">
        <f t="shared" si="117"/>
        <v>45657</v>
      </c>
      <c r="AE347" s="1">
        <f t="shared" si="118"/>
        <v>0</v>
      </c>
      <c r="AF347" s="1">
        <f t="shared" si="119"/>
        <v>0</v>
      </c>
      <c r="AG347" s="1">
        <f t="shared" si="120"/>
        <v>0</v>
      </c>
      <c r="AH347" s="1">
        <f t="shared" si="121"/>
        <v>0</v>
      </c>
      <c r="AI347" s="1">
        <f t="shared" si="122"/>
        <v>183</v>
      </c>
      <c r="AJ347" s="3">
        <f t="shared" si="123"/>
        <v>0.5</v>
      </c>
      <c r="AK347" s="3">
        <f t="shared" si="124"/>
        <v>0.57329842931937169</v>
      </c>
      <c r="AL347" s="3">
        <f t="shared" si="125"/>
        <v>0</v>
      </c>
      <c r="AM347" s="3">
        <f t="shared" si="126"/>
        <v>0</v>
      </c>
      <c r="AN347" s="3">
        <f t="shared" si="127"/>
        <v>0</v>
      </c>
      <c r="AO347" s="3">
        <f t="shared" si="128"/>
        <v>0</v>
      </c>
      <c r="AP347" s="1" t="str">
        <f>INDEX({"EAD";"EAD";"EAD";"EAD MOOC";"EAD";"EAD";"EAD FP";"EAD";"PRESENCIAL";"PRESENCIAL";"PRESENCIAL";"PRESENCIAL"}, MATCH(CONCATENATE(E347, ".", F347),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48" spans="1:42" x14ac:dyDescent="0.25">
      <c r="A348" s="1" t="s">
        <v>27</v>
      </c>
      <c r="B348" s="1" t="s">
        <v>43</v>
      </c>
      <c r="C348" s="1" t="s">
        <v>29</v>
      </c>
      <c r="D348" s="1" t="s">
        <v>44</v>
      </c>
      <c r="E348" s="1" t="s">
        <v>120</v>
      </c>
      <c r="F348" s="1" t="s">
        <v>21</v>
      </c>
      <c r="G348" s="1" t="s">
        <v>140</v>
      </c>
      <c r="H348" s="1" t="s">
        <v>529</v>
      </c>
      <c r="I348" s="1" t="s">
        <v>289</v>
      </c>
      <c r="J348" s="1" t="s">
        <v>125</v>
      </c>
      <c r="K348" s="1" t="s">
        <v>109</v>
      </c>
      <c r="L348" s="1">
        <v>2021428</v>
      </c>
      <c r="M348" s="1" t="s">
        <v>549</v>
      </c>
      <c r="N348" s="5">
        <f t="shared" si="130"/>
        <v>42502</v>
      </c>
      <c r="O348" s="5">
        <f>DATE(2019,7,19)</f>
        <v>43665</v>
      </c>
      <c r="P348" s="5">
        <f t="shared" si="109"/>
        <v>44760</v>
      </c>
      <c r="Q348" s="1">
        <v>2509</v>
      </c>
      <c r="R348" s="1">
        <v>2400</v>
      </c>
      <c r="S348" s="1">
        <f t="shared" si="110"/>
        <v>2400</v>
      </c>
      <c r="T348" s="1">
        <v>2.5</v>
      </c>
      <c r="U348" s="1" t="str">
        <f t="shared" si="111"/>
        <v>NÃO</v>
      </c>
      <c r="V348" s="1">
        <f t="shared" si="112"/>
        <v>1164</v>
      </c>
      <c r="W348" s="4">
        <f t="shared" si="113"/>
        <v>2.0618556701030926</v>
      </c>
      <c r="X348" s="4">
        <f t="shared" si="114"/>
        <v>752.57731958762884</v>
      </c>
      <c r="Y348" s="4">
        <f t="shared" si="115"/>
        <v>0.94072164948453607</v>
      </c>
      <c r="AB348" s="5">
        <f t="shared" si="116"/>
        <v>45292</v>
      </c>
      <c r="AC348" s="5">
        <f t="shared" si="117"/>
        <v>45657</v>
      </c>
      <c r="AE348" s="1">
        <f t="shared" si="118"/>
        <v>0</v>
      </c>
      <c r="AF348" s="1">
        <f t="shared" si="119"/>
        <v>0</v>
      </c>
      <c r="AG348" s="1">
        <f t="shared" si="120"/>
        <v>0</v>
      </c>
      <c r="AH348" s="1">
        <f t="shared" si="121"/>
        <v>0</v>
      </c>
      <c r="AI348" s="1">
        <f t="shared" si="122"/>
        <v>183</v>
      </c>
      <c r="AJ348" s="3">
        <f t="shared" si="123"/>
        <v>0.5</v>
      </c>
      <c r="AK348" s="3">
        <f t="shared" si="124"/>
        <v>0.47036082474226804</v>
      </c>
      <c r="AL348" s="3">
        <f t="shared" si="125"/>
        <v>0</v>
      </c>
      <c r="AM348" s="3">
        <f t="shared" si="126"/>
        <v>0</v>
      </c>
      <c r="AN348" s="3">
        <f t="shared" si="127"/>
        <v>0</v>
      </c>
      <c r="AO348" s="3">
        <f t="shared" si="128"/>
        <v>0</v>
      </c>
      <c r="AP348" s="1" t="str">
        <f>INDEX({"EAD";"EAD";"EAD";"EAD MOOC";"EAD";"EAD";"EAD FP";"EAD";"PRESENCIAL";"PRESENCIAL";"PRESENCIAL";"PRESENCIAL"}, MATCH(CONCATENATE(E348, ".", F348),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49" spans="1:42" x14ac:dyDescent="0.25">
      <c r="A349" s="1" t="s">
        <v>27</v>
      </c>
      <c r="B349" s="1" t="s">
        <v>43</v>
      </c>
      <c r="C349" s="1" t="s">
        <v>29</v>
      </c>
      <c r="D349" s="1" t="s">
        <v>44</v>
      </c>
      <c r="E349" s="1" t="s">
        <v>120</v>
      </c>
      <c r="F349" s="1" t="s">
        <v>21</v>
      </c>
      <c r="G349" s="1" t="s">
        <v>140</v>
      </c>
      <c r="H349" s="1" t="s">
        <v>550</v>
      </c>
      <c r="I349" s="1" t="s">
        <v>209</v>
      </c>
      <c r="J349" s="1" t="s">
        <v>125</v>
      </c>
      <c r="K349" s="1" t="s">
        <v>109</v>
      </c>
      <c r="L349" s="1">
        <v>2021432</v>
      </c>
      <c r="M349" s="1" t="s">
        <v>551</v>
      </c>
      <c r="N349" s="5">
        <f t="shared" si="130"/>
        <v>42502</v>
      </c>
      <c r="O349" s="5">
        <f>DATE(2018,12,22)</f>
        <v>43456</v>
      </c>
      <c r="P349" s="5">
        <f t="shared" si="109"/>
        <v>44551</v>
      </c>
      <c r="Q349" s="1">
        <v>2246</v>
      </c>
      <c r="R349" s="1">
        <v>2000</v>
      </c>
      <c r="S349" s="1">
        <f t="shared" si="110"/>
        <v>2000</v>
      </c>
      <c r="T349" s="1">
        <v>1.5</v>
      </c>
      <c r="U349" s="1" t="str">
        <f t="shared" si="111"/>
        <v>NÃO</v>
      </c>
      <c r="V349" s="1">
        <f t="shared" si="112"/>
        <v>955</v>
      </c>
      <c r="W349" s="4">
        <f t="shared" si="113"/>
        <v>2.0942408376963351</v>
      </c>
      <c r="X349" s="4">
        <f t="shared" si="114"/>
        <v>764.39790575916231</v>
      </c>
      <c r="Y349" s="4">
        <f t="shared" si="115"/>
        <v>0.95549738219895286</v>
      </c>
      <c r="AB349" s="5">
        <f t="shared" si="116"/>
        <v>45292</v>
      </c>
      <c r="AC349" s="5">
        <f t="shared" si="117"/>
        <v>45657</v>
      </c>
      <c r="AD349" s="1">
        <v>3</v>
      </c>
      <c r="AE349" s="1">
        <f t="shared" si="118"/>
        <v>0</v>
      </c>
      <c r="AF349" s="1">
        <f t="shared" si="119"/>
        <v>0</v>
      </c>
      <c r="AG349" s="1">
        <f t="shared" si="120"/>
        <v>0</v>
      </c>
      <c r="AH349" s="1">
        <f t="shared" si="121"/>
        <v>0</v>
      </c>
      <c r="AI349" s="1">
        <f t="shared" si="122"/>
        <v>183</v>
      </c>
      <c r="AJ349" s="3">
        <f t="shared" si="123"/>
        <v>0.5</v>
      </c>
      <c r="AK349" s="3">
        <f t="shared" si="124"/>
        <v>0.47774869109947643</v>
      </c>
      <c r="AL349" s="3">
        <f t="shared" si="125"/>
        <v>0</v>
      </c>
      <c r="AM349" s="3">
        <f t="shared" si="126"/>
        <v>0</v>
      </c>
      <c r="AN349" s="3">
        <f t="shared" si="127"/>
        <v>0</v>
      </c>
      <c r="AO349" s="3">
        <f t="shared" si="128"/>
        <v>0</v>
      </c>
      <c r="AP349" s="1" t="str">
        <f>INDEX({"EAD";"EAD";"EAD";"EAD MOOC";"EAD";"EAD";"EAD FP";"EAD";"PRESENCIAL";"PRESENCIAL";"PRESENCIAL";"PRESENCIAL"}, MATCH(CONCATENATE(E349, ".", F349),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50" spans="1:42" x14ac:dyDescent="0.25">
      <c r="A350" s="1" t="s">
        <v>27</v>
      </c>
      <c r="B350" s="1" t="s">
        <v>43</v>
      </c>
      <c r="C350" s="1" t="s">
        <v>29</v>
      </c>
      <c r="D350" s="1" t="s">
        <v>44</v>
      </c>
      <c r="E350" s="1" t="s">
        <v>120</v>
      </c>
      <c r="F350" s="1" t="s">
        <v>21</v>
      </c>
      <c r="G350" s="1" t="s">
        <v>140</v>
      </c>
      <c r="H350" s="1" t="s">
        <v>500</v>
      </c>
      <c r="I350" s="1" t="s">
        <v>209</v>
      </c>
      <c r="J350" s="1" t="s">
        <v>125</v>
      </c>
      <c r="K350" s="1" t="s">
        <v>109</v>
      </c>
      <c r="L350" s="1">
        <v>2021433</v>
      </c>
      <c r="M350" s="1" t="s">
        <v>552</v>
      </c>
      <c r="N350" s="5">
        <f t="shared" si="130"/>
        <v>42502</v>
      </c>
      <c r="O350" s="5">
        <f>DATE(2018,12,22)</f>
        <v>43456</v>
      </c>
      <c r="P350" s="5">
        <f t="shared" si="109"/>
        <v>44551</v>
      </c>
      <c r="Q350" s="1">
        <v>2358</v>
      </c>
      <c r="R350" s="1">
        <v>2000</v>
      </c>
      <c r="S350" s="1">
        <f t="shared" si="110"/>
        <v>2000</v>
      </c>
      <c r="T350" s="1">
        <v>1</v>
      </c>
      <c r="U350" s="1" t="str">
        <f t="shared" si="111"/>
        <v>NÃO</v>
      </c>
      <c r="V350" s="1">
        <f t="shared" si="112"/>
        <v>955</v>
      </c>
      <c r="W350" s="4">
        <f t="shared" si="113"/>
        <v>2.0942408376963351</v>
      </c>
      <c r="X350" s="4">
        <f t="shared" si="114"/>
        <v>764.39790575916231</v>
      </c>
      <c r="Y350" s="4">
        <f t="shared" si="115"/>
        <v>0.95549738219895286</v>
      </c>
      <c r="AB350" s="5">
        <f t="shared" si="116"/>
        <v>45292</v>
      </c>
      <c r="AC350" s="5">
        <f t="shared" si="117"/>
        <v>45657</v>
      </c>
      <c r="AD350" s="1">
        <v>9</v>
      </c>
      <c r="AE350" s="1">
        <f t="shared" si="118"/>
        <v>0</v>
      </c>
      <c r="AF350" s="1">
        <f t="shared" si="119"/>
        <v>0</v>
      </c>
      <c r="AG350" s="1">
        <f t="shared" si="120"/>
        <v>0</v>
      </c>
      <c r="AH350" s="1">
        <f t="shared" si="121"/>
        <v>0</v>
      </c>
      <c r="AI350" s="1">
        <f t="shared" si="122"/>
        <v>183</v>
      </c>
      <c r="AJ350" s="3">
        <f t="shared" si="123"/>
        <v>0.5</v>
      </c>
      <c r="AK350" s="3">
        <f t="shared" si="124"/>
        <v>0.47774869109947643</v>
      </c>
      <c r="AL350" s="3">
        <f t="shared" si="125"/>
        <v>0</v>
      </c>
      <c r="AM350" s="3">
        <f t="shared" si="126"/>
        <v>0</v>
      </c>
      <c r="AN350" s="3">
        <f t="shared" si="127"/>
        <v>0</v>
      </c>
      <c r="AO350" s="3">
        <f t="shared" si="128"/>
        <v>0</v>
      </c>
      <c r="AP350" s="1" t="str">
        <f>INDEX({"EAD";"EAD";"EAD";"EAD MOOC";"EAD";"EAD";"EAD FP";"EAD";"PRESENCIAL";"PRESENCIAL";"PRESENCIAL";"PRESENCIAL"}, MATCH(CONCATENATE(E350, ".", F350),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51" spans="1:42" x14ac:dyDescent="0.25">
      <c r="A351" s="1" t="s">
        <v>27</v>
      </c>
      <c r="B351" s="1" t="s">
        <v>43</v>
      </c>
      <c r="C351" s="1" t="s">
        <v>29</v>
      </c>
      <c r="D351" s="1" t="s">
        <v>44</v>
      </c>
      <c r="E351" s="1" t="s">
        <v>120</v>
      </c>
      <c r="F351" s="1" t="s">
        <v>21</v>
      </c>
      <c r="G351" s="1" t="s">
        <v>121</v>
      </c>
      <c r="H351" s="1" t="s">
        <v>508</v>
      </c>
      <c r="I351" s="1" t="s">
        <v>503</v>
      </c>
      <c r="J351" s="1" t="s">
        <v>125</v>
      </c>
      <c r="K351" s="1" t="s">
        <v>109</v>
      </c>
      <c r="L351" s="1">
        <v>2087676</v>
      </c>
      <c r="M351" s="1" t="s">
        <v>553</v>
      </c>
      <c r="N351" s="5">
        <f t="shared" ref="N351:N356" si="131">DATE(2016,10,3)</f>
        <v>42646</v>
      </c>
      <c r="O351" s="5">
        <f>DATE(2021,8,13)</f>
        <v>44421</v>
      </c>
      <c r="P351" s="5">
        <f t="shared" si="109"/>
        <v>45516</v>
      </c>
      <c r="Q351" s="1">
        <v>4610</v>
      </c>
      <c r="R351" s="1">
        <v>3600</v>
      </c>
      <c r="S351" s="1">
        <f t="shared" si="110"/>
        <v>3600</v>
      </c>
      <c r="T351" s="1">
        <v>2.5</v>
      </c>
      <c r="U351" s="1" t="str">
        <f t="shared" si="111"/>
        <v>SIM</v>
      </c>
      <c r="V351" s="1">
        <f t="shared" si="112"/>
        <v>1776</v>
      </c>
      <c r="W351" s="4">
        <f t="shared" si="113"/>
        <v>2.0270270270270272</v>
      </c>
      <c r="X351" s="4">
        <f t="shared" si="114"/>
        <v>739.8648648648649</v>
      </c>
      <c r="Y351" s="4">
        <f t="shared" si="115"/>
        <v>0.92483108108108114</v>
      </c>
      <c r="AB351" s="5">
        <f t="shared" si="116"/>
        <v>45292</v>
      </c>
      <c r="AC351" s="5">
        <f t="shared" si="117"/>
        <v>45657</v>
      </c>
      <c r="AD351" s="1">
        <v>6</v>
      </c>
      <c r="AE351" s="1">
        <f t="shared" si="118"/>
        <v>0</v>
      </c>
      <c r="AF351" s="1">
        <f t="shared" si="119"/>
        <v>0</v>
      </c>
      <c r="AG351" s="1">
        <f t="shared" si="120"/>
        <v>0</v>
      </c>
      <c r="AH351" s="1">
        <f t="shared" si="121"/>
        <v>0</v>
      </c>
      <c r="AI351" s="1">
        <f t="shared" si="122"/>
        <v>183</v>
      </c>
      <c r="AJ351" s="3">
        <f t="shared" si="123"/>
        <v>0.5</v>
      </c>
      <c r="AK351" s="3">
        <f t="shared" si="124"/>
        <v>0.46241554054054057</v>
      </c>
      <c r="AL351" s="3">
        <f t="shared" si="125"/>
        <v>1.3872466216216217</v>
      </c>
      <c r="AM351" s="3">
        <f t="shared" si="126"/>
        <v>3.4681165540540544</v>
      </c>
      <c r="AN351" s="3">
        <f t="shared" si="127"/>
        <v>0</v>
      </c>
      <c r="AO351" s="3">
        <f t="shared" si="128"/>
        <v>3.4681165540540544</v>
      </c>
      <c r="AP351" s="1" t="str">
        <f>INDEX({"EAD";"EAD";"EAD";"EAD MOOC";"EAD";"EAD";"EAD FP";"EAD";"PRESENCIAL";"PRESENCIAL";"PRESENCIAL";"PRESENCIAL"}, MATCH(CONCATENATE(E351, ".", F351),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52" spans="1:42" x14ac:dyDescent="0.25">
      <c r="A352" s="1" t="s">
        <v>27</v>
      </c>
      <c r="B352" s="1" t="s">
        <v>43</v>
      </c>
      <c r="C352" s="1" t="s">
        <v>29</v>
      </c>
      <c r="D352" s="1" t="s">
        <v>44</v>
      </c>
      <c r="E352" s="1" t="s">
        <v>120</v>
      </c>
      <c r="F352" s="1" t="s">
        <v>21</v>
      </c>
      <c r="G352" s="1" t="s">
        <v>121</v>
      </c>
      <c r="H352" s="1" t="s">
        <v>495</v>
      </c>
      <c r="I352" s="1" t="s">
        <v>124</v>
      </c>
      <c r="J352" s="1" t="s">
        <v>125</v>
      </c>
      <c r="K352" s="1" t="s">
        <v>109</v>
      </c>
      <c r="L352" s="1">
        <v>2087678</v>
      </c>
      <c r="M352" s="1" t="s">
        <v>554</v>
      </c>
      <c r="N352" s="5">
        <f t="shared" si="131"/>
        <v>42646</v>
      </c>
      <c r="O352" s="5">
        <f>DATE(2019,8,16)</f>
        <v>43693</v>
      </c>
      <c r="P352" s="5">
        <f t="shared" si="109"/>
        <v>44788</v>
      </c>
      <c r="Q352" s="1">
        <v>2587</v>
      </c>
      <c r="R352" s="1">
        <v>2400</v>
      </c>
      <c r="S352" s="1">
        <f t="shared" si="110"/>
        <v>2400</v>
      </c>
      <c r="T352" s="1">
        <v>1</v>
      </c>
      <c r="U352" s="1" t="str">
        <f t="shared" si="111"/>
        <v>NÃO</v>
      </c>
      <c r="V352" s="1">
        <f t="shared" si="112"/>
        <v>1048</v>
      </c>
      <c r="W352" s="4">
        <f t="shared" si="113"/>
        <v>2.2900763358778624</v>
      </c>
      <c r="X352" s="4">
        <f t="shared" si="114"/>
        <v>835.87786259541974</v>
      </c>
      <c r="Y352" s="4">
        <f t="shared" si="115"/>
        <v>1.0448473282442747</v>
      </c>
      <c r="AB352" s="5">
        <f t="shared" si="116"/>
        <v>45292</v>
      </c>
      <c r="AC352" s="5">
        <f t="shared" si="117"/>
        <v>45657</v>
      </c>
      <c r="AD352" s="1">
        <v>5</v>
      </c>
      <c r="AE352" s="1">
        <f t="shared" si="118"/>
        <v>0</v>
      </c>
      <c r="AF352" s="1">
        <f t="shared" si="119"/>
        <v>0</v>
      </c>
      <c r="AG352" s="1">
        <f t="shared" si="120"/>
        <v>0</v>
      </c>
      <c r="AH352" s="1">
        <f t="shared" si="121"/>
        <v>0</v>
      </c>
      <c r="AI352" s="1">
        <f t="shared" si="122"/>
        <v>183</v>
      </c>
      <c r="AJ352" s="3">
        <f t="shared" si="123"/>
        <v>0.5</v>
      </c>
      <c r="AK352" s="3">
        <f t="shared" si="124"/>
        <v>0.52242366412213737</v>
      </c>
      <c r="AL352" s="3">
        <f t="shared" si="125"/>
        <v>0</v>
      </c>
      <c r="AM352" s="3">
        <f t="shared" si="126"/>
        <v>0</v>
      </c>
      <c r="AN352" s="3">
        <f t="shared" si="127"/>
        <v>0</v>
      </c>
      <c r="AO352" s="3">
        <f t="shared" si="128"/>
        <v>0</v>
      </c>
      <c r="AP352" s="1" t="str">
        <f>INDEX({"EAD";"EAD";"EAD";"EAD MOOC";"EAD";"EAD";"EAD FP";"EAD";"PRESENCIAL";"PRESENCIAL";"PRESENCIAL";"PRESENCIAL"}, MATCH(CONCATENATE(E352, ".", F352),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53" spans="1:42" x14ac:dyDescent="0.25">
      <c r="A353" s="1" t="s">
        <v>27</v>
      </c>
      <c r="B353" s="1" t="s">
        <v>43</v>
      </c>
      <c r="C353" s="1" t="s">
        <v>29</v>
      </c>
      <c r="D353" s="1" t="s">
        <v>44</v>
      </c>
      <c r="E353" s="1" t="s">
        <v>120</v>
      </c>
      <c r="F353" s="1" t="s">
        <v>21</v>
      </c>
      <c r="G353" s="1" t="s">
        <v>121</v>
      </c>
      <c r="H353" s="1" t="s">
        <v>537</v>
      </c>
      <c r="I353" s="1" t="s">
        <v>187</v>
      </c>
      <c r="J353" s="1" t="s">
        <v>125</v>
      </c>
      <c r="K353" s="1" t="s">
        <v>109</v>
      </c>
      <c r="L353" s="1">
        <v>2087683</v>
      </c>
      <c r="M353" s="1" t="s">
        <v>555</v>
      </c>
      <c r="N353" s="5">
        <f t="shared" si="131"/>
        <v>42646</v>
      </c>
      <c r="O353" s="5">
        <f>DATE(2019,8,16)</f>
        <v>43693</v>
      </c>
      <c r="P353" s="5">
        <f t="shared" si="109"/>
        <v>44788</v>
      </c>
      <c r="Q353" s="1">
        <v>2668</v>
      </c>
      <c r="R353" s="1">
        <v>2400</v>
      </c>
      <c r="S353" s="1">
        <f t="shared" si="110"/>
        <v>2400</v>
      </c>
      <c r="T353" s="1">
        <v>1</v>
      </c>
      <c r="U353" s="1" t="str">
        <f t="shared" si="111"/>
        <v>NÃO</v>
      </c>
      <c r="V353" s="1">
        <f t="shared" si="112"/>
        <v>1048</v>
      </c>
      <c r="W353" s="4">
        <f t="shared" si="113"/>
        <v>2.2900763358778624</v>
      </c>
      <c r="X353" s="4">
        <f t="shared" si="114"/>
        <v>835.87786259541974</v>
      </c>
      <c r="Y353" s="4">
        <f t="shared" si="115"/>
        <v>1.0448473282442747</v>
      </c>
      <c r="AB353" s="5">
        <f t="shared" si="116"/>
        <v>45292</v>
      </c>
      <c r="AC353" s="5">
        <f t="shared" si="117"/>
        <v>45657</v>
      </c>
      <c r="AD353" s="1">
        <v>4</v>
      </c>
      <c r="AE353" s="1">
        <f t="shared" si="118"/>
        <v>0</v>
      </c>
      <c r="AF353" s="1">
        <f t="shared" si="119"/>
        <v>0</v>
      </c>
      <c r="AG353" s="1">
        <f t="shared" si="120"/>
        <v>0</v>
      </c>
      <c r="AH353" s="1">
        <f t="shared" si="121"/>
        <v>0</v>
      </c>
      <c r="AI353" s="1">
        <f t="shared" si="122"/>
        <v>183</v>
      </c>
      <c r="AJ353" s="3">
        <f t="shared" si="123"/>
        <v>0.5</v>
      </c>
      <c r="AK353" s="3">
        <f t="shared" si="124"/>
        <v>0.52242366412213737</v>
      </c>
      <c r="AL353" s="3">
        <f t="shared" si="125"/>
        <v>0</v>
      </c>
      <c r="AM353" s="3">
        <f t="shared" si="126"/>
        <v>0</v>
      </c>
      <c r="AN353" s="3">
        <f t="shared" si="127"/>
        <v>0</v>
      </c>
      <c r="AO353" s="3">
        <f t="shared" si="128"/>
        <v>0</v>
      </c>
      <c r="AP353" s="1" t="str">
        <f>INDEX({"EAD";"EAD";"EAD";"EAD MOOC";"EAD";"EAD";"EAD FP";"EAD";"PRESENCIAL";"PRESENCIAL";"PRESENCIAL";"PRESENCIAL"}, MATCH(CONCATENATE(E353, ".", F353),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54" spans="1:42" x14ac:dyDescent="0.25">
      <c r="A354" s="1" t="s">
        <v>27</v>
      </c>
      <c r="B354" s="1" t="s">
        <v>43</v>
      </c>
      <c r="C354" s="1" t="s">
        <v>29</v>
      </c>
      <c r="D354" s="1" t="s">
        <v>44</v>
      </c>
      <c r="E354" s="1" t="s">
        <v>120</v>
      </c>
      <c r="F354" s="1" t="s">
        <v>21</v>
      </c>
      <c r="G354" s="1" t="s">
        <v>140</v>
      </c>
      <c r="H354" s="1" t="s">
        <v>502</v>
      </c>
      <c r="I354" s="1" t="s">
        <v>503</v>
      </c>
      <c r="J354" s="1" t="s">
        <v>125</v>
      </c>
      <c r="K354" s="1" t="s">
        <v>109</v>
      </c>
      <c r="L354" s="1">
        <v>2087687</v>
      </c>
      <c r="M354" s="1" t="s">
        <v>556</v>
      </c>
      <c r="N354" s="5">
        <f t="shared" si="131"/>
        <v>42646</v>
      </c>
      <c r="O354" s="5">
        <f>DATE(2019,12,23)</f>
        <v>43822</v>
      </c>
      <c r="P354" s="5">
        <f t="shared" si="109"/>
        <v>44917</v>
      </c>
      <c r="Q354" s="1">
        <v>2406</v>
      </c>
      <c r="R354" s="1">
        <v>2400</v>
      </c>
      <c r="S354" s="1">
        <f t="shared" si="110"/>
        <v>2400</v>
      </c>
      <c r="T354" s="1">
        <v>2.5</v>
      </c>
      <c r="U354" s="1" t="str">
        <f t="shared" si="111"/>
        <v>NÃO</v>
      </c>
      <c r="V354" s="1">
        <f t="shared" si="112"/>
        <v>1177</v>
      </c>
      <c r="W354" s="4">
        <f t="shared" si="113"/>
        <v>2.0390824129141887</v>
      </c>
      <c r="X354" s="4">
        <f t="shared" si="114"/>
        <v>744.26508071367891</v>
      </c>
      <c r="Y354" s="4">
        <f t="shared" si="115"/>
        <v>0.93033135089209862</v>
      </c>
      <c r="AB354" s="5">
        <f t="shared" si="116"/>
        <v>45292</v>
      </c>
      <c r="AC354" s="5">
        <f t="shared" si="117"/>
        <v>45657</v>
      </c>
      <c r="AE354" s="1">
        <f t="shared" si="118"/>
        <v>0</v>
      </c>
      <c r="AF354" s="1">
        <f t="shared" si="119"/>
        <v>0</v>
      </c>
      <c r="AG354" s="1">
        <f t="shared" si="120"/>
        <v>0</v>
      </c>
      <c r="AH354" s="1">
        <f t="shared" si="121"/>
        <v>0</v>
      </c>
      <c r="AI354" s="1">
        <f t="shared" si="122"/>
        <v>183</v>
      </c>
      <c r="AJ354" s="3">
        <f t="shared" si="123"/>
        <v>0.5</v>
      </c>
      <c r="AK354" s="3">
        <f t="shared" si="124"/>
        <v>0.46516567544604931</v>
      </c>
      <c r="AL354" s="3">
        <f t="shared" si="125"/>
        <v>0</v>
      </c>
      <c r="AM354" s="3">
        <f t="shared" si="126"/>
        <v>0</v>
      </c>
      <c r="AN354" s="3">
        <f t="shared" si="127"/>
        <v>0</v>
      </c>
      <c r="AO354" s="3">
        <f t="shared" si="128"/>
        <v>0</v>
      </c>
      <c r="AP354" s="1" t="str">
        <f>INDEX({"EAD";"EAD";"EAD";"EAD MOOC";"EAD";"EAD";"EAD FP";"EAD";"PRESENCIAL";"PRESENCIAL";"PRESENCIAL";"PRESENCIAL"}, MATCH(CONCATENATE(E354, ".", F354),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55" spans="1:42" x14ac:dyDescent="0.25">
      <c r="A355" s="1" t="s">
        <v>27</v>
      </c>
      <c r="B355" s="1" t="s">
        <v>43</v>
      </c>
      <c r="C355" s="1" t="s">
        <v>29</v>
      </c>
      <c r="D355" s="1" t="s">
        <v>44</v>
      </c>
      <c r="E355" s="1" t="s">
        <v>120</v>
      </c>
      <c r="F355" s="1" t="s">
        <v>21</v>
      </c>
      <c r="G355" s="1" t="s">
        <v>140</v>
      </c>
      <c r="H355" s="1" t="s">
        <v>498</v>
      </c>
      <c r="I355" s="1" t="s">
        <v>289</v>
      </c>
      <c r="J355" s="1" t="s">
        <v>125</v>
      </c>
      <c r="K355" s="1" t="s">
        <v>109</v>
      </c>
      <c r="L355" s="1">
        <v>2087692</v>
      </c>
      <c r="M355" s="1" t="s">
        <v>557</v>
      </c>
      <c r="N355" s="5">
        <f t="shared" si="131"/>
        <v>42646</v>
      </c>
      <c r="O355" s="5">
        <f>DATE(2019,8,16)</f>
        <v>43693</v>
      </c>
      <c r="P355" s="5">
        <f t="shared" si="109"/>
        <v>44788</v>
      </c>
      <c r="Q355" s="1">
        <v>2416</v>
      </c>
      <c r="R355" s="1">
        <v>2400</v>
      </c>
      <c r="S355" s="1">
        <f t="shared" si="110"/>
        <v>2400</v>
      </c>
      <c r="T355" s="1">
        <v>2.5</v>
      </c>
      <c r="U355" s="1" t="str">
        <f t="shared" si="111"/>
        <v>NÃO</v>
      </c>
      <c r="V355" s="1">
        <f t="shared" si="112"/>
        <v>1048</v>
      </c>
      <c r="W355" s="4">
        <f t="shared" si="113"/>
        <v>2.2900763358778624</v>
      </c>
      <c r="X355" s="4">
        <f t="shared" si="114"/>
        <v>835.87786259541974</v>
      </c>
      <c r="Y355" s="4">
        <f t="shared" si="115"/>
        <v>1.0448473282442747</v>
      </c>
      <c r="AB355" s="5">
        <f t="shared" si="116"/>
        <v>45292</v>
      </c>
      <c r="AC355" s="5">
        <f t="shared" si="117"/>
        <v>45657</v>
      </c>
      <c r="AE355" s="1">
        <f t="shared" si="118"/>
        <v>0</v>
      </c>
      <c r="AF355" s="1">
        <f t="shared" si="119"/>
        <v>0</v>
      </c>
      <c r="AG355" s="1">
        <f t="shared" si="120"/>
        <v>0</v>
      </c>
      <c r="AH355" s="1">
        <f t="shared" si="121"/>
        <v>0</v>
      </c>
      <c r="AI355" s="1">
        <f t="shared" si="122"/>
        <v>183</v>
      </c>
      <c r="AJ355" s="3">
        <f t="shared" si="123"/>
        <v>0.5</v>
      </c>
      <c r="AK355" s="3">
        <f t="shared" si="124"/>
        <v>0.52242366412213737</v>
      </c>
      <c r="AL355" s="3">
        <f t="shared" si="125"/>
        <v>0</v>
      </c>
      <c r="AM355" s="3">
        <f t="shared" si="126"/>
        <v>0</v>
      </c>
      <c r="AN355" s="3">
        <f t="shared" si="127"/>
        <v>0</v>
      </c>
      <c r="AO355" s="3">
        <f t="shared" si="128"/>
        <v>0</v>
      </c>
      <c r="AP355" s="1" t="str">
        <f>INDEX({"EAD";"EAD";"EAD";"EAD MOOC";"EAD";"EAD";"EAD FP";"EAD";"PRESENCIAL";"PRESENCIAL";"PRESENCIAL";"PRESENCIAL"}, MATCH(CONCATENATE(E355, ".", F355),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56" spans="1:42" x14ac:dyDescent="0.25">
      <c r="A356" s="1" t="s">
        <v>27</v>
      </c>
      <c r="B356" s="1" t="s">
        <v>43</v>
      </c>
      <c r="C356" s="1" t="s">
        <v>29</v>
      </c>
      <c r="D356" s="1" t="s">
        <v>44</v>
      </c>
      <c r="E356" s="1" t="s">
        <v>120</v>
      </c>
      <c r="F356" s="1" t="s">
        <v>21</v>
      </c>
      <c r="G356" s="1" t="s">
        <v>140</v>
      </c>
      <c r="H356" s="1" t="s">
        <v>529</v>
      </c>
      <c r="I356" s="1" t="s">
        <v>289</v>
      </c>
      <c r="J356" s="1" t="s">
        <v>125</v>
      </c>
      <c r="K356" s="1" t="s">
        <v>109</v>
      </c>
      <c r="L356" s="1">
        <v>2087697</v>
      </c>
      <c r="M356" s="1" t="s">
        <v>558</v>
      </c>
      <c r="N356" s="5">
        <f t="shared" si="131"/>
        <v>42646</v>
      </c>
      <c r="O356" s="5">
        <f>DATE(2019,12,23)</f>
        <v>43822</v>
      </c>
      <c r="P356" s="5">
        <f t="shared" si="109"/>
        <v>44917</v>
      </c>
      <c r="Q356" s="1">
        <v>2509</v>
      </c>
      <c r="R356" s="1">
        <v>2400</v>
      </c>
      <c r="S356" s="1">
        <f t="shared" si="110"/>
        <v>2400</v>
      </c>
      <c r="T356" s="1">
        <v>2.5</v>
      </c>
      <c r="U356" s="1" t="str">
        <f t="shared" si="111"/>
        <v>NÃO</v>
      </c>
      <c r="V356" s="1">
        <f t="shared" si="112"/>
        <v>1177</v>
      </c>
      <c r="W356" s="4">
        <f t="shared" si="113"/>
        <v>2.0390824129141887</v>
      </c>
      <c r="X356" s="4">
        <f t="shared" si="114"/>
        <v>744.26508071367891</v>
      </c>
      <c r="Y356" s="4">
        <f t="shared" si="115"/>
        <v>0.93033135089209862</v>
      </c>
      <c r="AB356" s="5">
        <f t="shared" si="116"/>
        <v>45292</v>
      </c>
      <c r="AC356" s="5">
        <f t="shared" si="117"/>
        <v>45657</v>
      </c>
      <c r="AE356" s="1">
        <f t="shared" si="118"/>
        <v>0</v>
      </c>
      <c r="AF356" s="1">
        <f t="shared" si="119"/>
        <v>0</v>
      </c>
      <c r="AG356" s="1">
        <f t="shared" si="120"/>
        <v>0</v>
      </c>
      <c r="AH356" s="1">
        <f t="shared" si="121"/>
        <v>0</v>
      </c>
      <c r="AI356" s="1">
        <f t="shared" si="122"/>
        <v>183</v>
      </c>
      <c r="AJ356" s="3">
        <f t="shared" si="123"/>
        <v>0.5</v>
      </c>
      <c r="AK356" s="3">
        <f t="shared" si="124"/>
        <v>0.46516567544604931</v>
      </c>
      <c r="AL356" s="3">
        <f t="shared" si="125"/>
        <v>0</v>
      </c>
      <c r="AM356" s="3">
        <f t="shared" si="126"/>
        <v>0</v>
      </c>
      <c r="AN356" s="3">
        <f t="shared" si="127"/>
        <v>0</v>
      </c>
      <c r="AO356" s="3">
        <f t="shared" si="128"/>
        <v>0</v>
      </c>
      <c r="AP356" s="1" t="str">
        <f>INDEX({"EAD";"EAD";"EAD";"EAD MOOC";"EAD";"EAD";"EAD FP";"EAD";"PRESENCIAL";"PRESENCIAL";"PRESENCIAL";"PRESENCIAL"}, MATCH(CONCATENATE(E356, ".", F356),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57" spans="1:42" x14ac:dyDescent="0.25">
      <c r="A357" s="1" t="s">
        <v>27</v>
      </c>
      <c r="B357" s="1" t="s">
        <v>43</v>
      </c>
      <c r="C357" s="1" t="s">
        <v>29</v>
      </c>
      <c r="D357" s="1" t="s">
        <v>44</v>
      </c>
      <c r="E357" s="1" t="s">
        <v>120</v>
      </c>
      <c r="F357" s="1" t="s">
        <v>21</v>
      </c>
      <c r="G357" s="1" t="s">
        <v>128</v>
      </c>
      <c r="H357" s="1" t="s">
        <v>559</v>
      </c>
      <c r="I357" s="1" t="s">
        <v>289</v>
      </c>
      <c r="J357" s="1" t="s">
        <v>125</v>
      </c>
      <c r="K357" s="1" t="s">
        <v>130</v>
      </c>
      <c r="L357" s="1">
        <v>2141489</v>
      </c>
      <c r="M357" s="1" t="s">
        <v>560</v>
      </c>
      <c r="N357" s="5">
        <f t="shared" ref="N357:N371" si="132">DATE(2017,4,17)</f>
        <v>42842</v>
      </c>
      <c r="O357" s="5">
        <f>DATE(2021,1,15)</f>
        <v>44211</v>
      </c>
      <c r="P357" s="5">
        <f t="shared" si="109"/>
        <v>45306</v>
      </c>
      <c r="Q357" s="1">
        <v>3826</v>
      </c>
      <c r="R357" s="1">
        <v>1200</v>
      </c>
      <c r="S357" s="1">
        <f t="shared" si="110"/>
        <v>3200</v>
      </c>
      <c r="T357" s="1">
        <v>2.5</v>
      </c>
      <c r="U357" s="1" t="str">
        <f t="shared" si="111"/>
        <v>SIM</v>
      </c>
      <c r="V357" s="1">
        <f t="shared" si="112"/>
        <v>1370</v>
      </c>
      <c r="W357" s="4">
        <f t="shared" si="113"/>
        <v>2.335766423357664</v>
      </c>
      <c r="X357" s="4">
        <f t="shared" si="114"/>
        <v>852.55474452554733</v>
      </c>
      <c r="Y357" s="4">
        <f t="shared" si="115"/>
        <v>1.0656934306569341</v>
      </c>
      <c r="AB357" s="5">
        <f t="shared" si="116"/>
        <v>45292</v>
      </c>
      <c r="AC357" s="5">
        <f t="shared" si="117"/>
        <v>45657</v>
      </c>
      <c r="AD357" s="1">
        <v>3</v>
      </c>
      <c r="AE357" s="1">
        <f t="shared" si="118"/>
        <v>0</v>
      </c>
      <c r="AF357" s="1">
        <f t="shared" si="119"/>
        <v>0</v>
      </c>
      <c r="AG357" s="1">
        <f t="shared" si="120"/>
        <v>0</v>
      </c>
      <c r="AH357" s="1">
        <f t="shared" si="121"/>
        <v>0</v>
      </c>
      <c r="AI357" s="1">
        <f t="shared" si="122"/>
        <v>183</v>
      </c>
      <c r="AJ357" s="3">
        <f t="shared" si="123"/>
        <v>0.5</v>
      </c>
      <c r="AK357" s="3">
        <f t="shared" si="124"/>
        <v>0.53284671532846706</v>
      </c>
      <c r="AL357" s="3">
        <f t="shared" si="125"/>
        <v>0.79927007299270059</v>
      </c>
      <c r="AM357" s="3">
        <f t="shared" si="126"/>
        <v>1.9981751824817515</v>
      </c>
      <c r="AN357" s="3">
        <f t="shared" si="127"/>
        <v>0</v>
      </c>
      <c r="AO357" s="3">
        <f t="shared" si="128"/>
        <v>1.9981751824817515</v>
      </c>
      <c r="AP357" s="1" t="str">
        <f>INDEX({"EAD";"EAD";"EAD";"EAD MOOC";"EAD";"EAD";"EAD FP";"EAD";"PRESENCIAL";"PRESENCIAL";"PRESENCIAL";"PRESENCIAL"}, MATCH(CONCATENATE(E357, ".", F357),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58" spans="1:42" x14ac:dyDescent="0.25">
      <c r="A358" s="1" t="s">
        <v>27</v>
      </c>
      <c r="B358" s="1" t="s">
        <v>43</v>
      </c>
      <c r="C358" s="1" t="s">
        <v>29</v>
      </c>
      <c r="D358" s="1" t="s">
        <v>44</v>
      </c>
      <c r="E358" s="1" t="s">
        <v>120</v>
      </c>
      <c r="F358" s="1" t="s">
        <v>21</v>
      </c>
      <c r="G358" s="1" t="s">
        <v>128</v>
      </c>
      <c r="H358" s="1" t="s">
        <v>218</v>
      </c>
      <c r="I358" s="1" t="s">
        <v>124</v>
      </c>
      <c r="J358" s="1" t="s">
        <v>125</v>
      </c>
      <c r="K358" s="1" t="s">
        <v>130</v>
      </c>
      <c r="L358" s="1">
        <v>2141498</v>
      </c>
      <c r="M358" s="1" t="s">
        <v>561</v>
      </c>
      <c r="N358" s="5">
        <f t="shared" si="132"/>
        <v>42842</v>
      </c>
      <c r="O358" s="5">
        <f>DATE(2020,1,17)</f>
        <v>43847</v>
      </c>
      <c r="P358" s="5">
        <f t="shared" si="109"/>
        <v>44942</v>
      </c>
      <c r="Q358" s="1">
        <v>3573</v>
      </c>
      <c r="R358" s="1">
        <v>800</v>
      </c>
      <c r="S358" s="1">
        <f t="shared" si="110"/>
        <v>3000</v>
      </c>
      <c r="T358" s="1">
        <v>1.5</v>
      </c>
      <c r="U358" s="1" t="str">
        <f t="shared" si="111"/>
        <v>NÃO</v>
      </c>
      <c r="V358" s="1">
        <f t="shared" si="112"/>
        <v>1006</v>
      </c>
      <c r="W358" s="4">
        <f t="shared" si="113"/>
        <v>2.982107355864811</v>
      </c>
      <c r="X358" s="4">
        <f t="shared" si="114"/>
        <v>1088.4691848906559</v>
      </c>
      <c r="Y358" s="4">
        <f t="shared" si="115"/>
        <v>1.3605864811133199</v>
      </c>
      <c r="AB358" s="5">
        <f t="shared" si="116"/>
        <v>45292</v>
      </c>
      <c r="AC358" s="5">
        <f t="shared" si="117"/>
        <v>45657</v>
      </c>
      <c r="AD358" s="1">
        <v>6</v>
      </c>
      <c r="AE358" s="1">
        <f t="shared" si="118"/>
        <v>0</v>
      </c>
      <c r="AF358" s="1">
        <f t="shared" si="119"/>
        <v>0</v>
      </c>
      <c r="AG358" s="1">
        <f t="shared" si="120"/>
        <v>0</v>
      </c>
      <c r="AH358" s="1">
        <f t="shared" si="121"/>
        <v>0</v>
      </c>
      <c r="AI358" s="1">
        <f t="shared" si="122"/>
        <v>183</v>
      </c>
      <c r="AJ358" s="3">
        <f t="shared" si="123"/>
        <v>0.5</v>
      </c>
      <c r="AK358" s="3">
        <f t="shared" si="124"/>
        <v>0.68029324055665996</v>
      </c>
      <c r="AL358" s="3">
        <f t="shared" si="125"/>
        <v>0</v>
      </c>
      <c r="AM358" s="3">
        <f t="shared" si="126"/>
        <v>0</v>
      </c>
      <c r="AN358" s="3">
        <f t="shared" si="127"/>
        <v>0</v>
      </c>
      <c r="AO358" s="3">
        <f t="shared" si="128"/>
        <v>0</v>
      </c>
      <c r="AP358" s="1" t="str">
        <f>INDEX({"EAD";"EAD";"EAD";"EAD MOOC";"EAD";"EAD";"EAD FP";"EAD";"PRESENCIAL";"PRESENCIAL";"PRESENCIAL";"PRESENCIAL"}, MATCH(CONCATENATE(E358, ".", F358),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59" spans="1:42" x14ac:dyDescent="0.25">
      <c r="A359" s="1" t="s">
        <v>27</v>
      </c>
      <c r="B359" s="1" t="s">
        <v>43</v>
      </c>
      <c r="C359" s="1" t="s">
        <v>29</v>
      </c>
      <c r="D359" s="1" t="s">
        <v>44</v>
      </c>
      <c r="E359" s="1" t="s">
        <v>120</v>
      </c>
      <c r="F359" s="1" t="s">
        <v>21</v>
      </c>
      <c r="G359" s="1" t="s">
        <v>128</v>
      </c>
      <c r="H359" s="1" t="s">
        <v>208</v>
      </c>
      <c r="I359" s="1" t="s">
        <v>209</v>
      </c>
      <c r="J359" s="1" t="s">
        <v>125</v>
      </c>
      <c r="K359" s="1" t="s">
        <v>130</v>
      </c>
      <c r="L359" s="1">
        <v>2141499</v>
      </c>
      <c r="M359" s="1" t="s">
        <v>562</v>
      </c>
      <c r="N359" s="5">
        <f t="shared" si="132"/>
        <v>42842</v>
      </c>
      <c r="O359" s="5">
        <f>DATE(2020,1,17)</f>
        <v>43847</v>
      </c>
      <c r="P359" s="5">
        <f t="shared" si="109"/>
        <v>44942</v>
      </c>
      <c r="Q359" s="1">
        <v>3740</v>
      </c>
      <c r="R359" s="1">
        <v>1200</v>
      </c>
      <c r="S359" s="1">
        <f t="shared" si="110"/>
        <v>3200</v>
      </c>
      <c r="T359" s="1">
        <v>1.5</v>
      </c>
      <c r="U359" s="1" t="str">
        <f t="shared" si="111"/>
        <v>NÃO</v>
      </c>
      <c r="V359" s="1">
        <f t="shared" si="112"/>
        <v>1006</v>
      </c>
      <c r="W359" s="4">
        <f t="shared" si="113"/>
        <v>3.1809145129224654</v>
      </c>
      <c r="X359" s="4">
        <f t="shared" si="114"/>
        <v>1161.0337972166999</v>
      </c>
      <c r="Y359" s="4">
        <f t="shared" si="115"/>
        <v>1.4512922465208749</v>
      </c>
      <c r="AB359" s="5">
        <f t="shared" si="116"/>
        <v>45292</v>
      </c>
      <c r="AC359" s="5">
        <f t="shared" si="117"/>
        <v>45657</v>
      </c>
      <c r="AE359" s="1">
        <f t="shared" si="118"/>
        <v>0</v>
      </c>
      <c r="AF359" s="1">
        <f t="shared" si="119"/>
        <v>0</v>
      </c>
      <c r="AG359" s="1">
        <f t="shared" si="120"/>
        <v>0</v>
      </c>
      <c r="AH359" s="1">
        <f t="shared" si="121"/>
        <v>0</v>
      </c>
      <c r="AI359" s="1">
        <f t="shared" si="122"/>
        <v>183</v>
      </c>
      <c r="AJ359" s="3">
        <f t="shared" si="123"/>
        <v>0.5</v>
      </c>
      <c r="AK359" s="3">
        <f t="shared" si="124"/>
        <v>0.72564612326043743</v>
      </c>
      <c r="AL359" s="3">
        <f t="shared" si="125"/>
        <v>0</v>
      </c>
      <c r="AM359" s="3">
        <f t="shared" si="126"/>
        <v>0</v>
      </c>
      <c r="AN359" s="3">
        <f t="shared" si="127"/>
        <v>0</v>
      </c>
      <c r="AO359" s="3">
        <f t="shared" si="128"/>
        <v>0</v>
      </c>
      <c r="AP359" s="1" t="str">
        <f>INDEX({"EAD";"EAD";"EAD";"EAD MOOC";"EAD";"EAD";"EAD FP";"EAD";"PRESENCIAL";"PRESENCIAL";"PRESENCIAL";"PRESENCIAL"}, MATCH(CONCATENATE(E359, ".", F359),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60" spans="1:42" x14ac:dyDescent="0.25">
      <c r="A360" s="1" t="s">
        <v>27</v>
      </c>
      <c r="B360" s="1" t="s">
        <v>43</v>
      </c>
      <c r="C360" s="1" t="s">
        <v>29</v>
      </c>
      <c r="D360" s="1" t="s">
        <v>44</v>
      </c>
      <c r="E360" s="1" t="s">
        <v>120</v>
      </c>
      <c r="F360" s="1" t="s">
        <v>21</v>
      </c>
      <c r="G360" s="1" t="s">
        <v>128</v>
      </c>
      <c r="H360" s="1" t="s">
        <v>559</v>
      </c>
      <c r="I360" s="1" t="s">
        <v>289</v>
      </c>
      <c r="J360" s="1" t="s">
        <v>125</v>
      </c>
      <c r="K360" s="1" t="s">
        <v>163</v>
      </c>
      <c r="L360" s="1">
        <v>2141564</v>
      </c>
      <c r="M360" s="1" t="s">
        <v>563</v>
      </c>
      <c r="N360" s="5">
        <f t="shared" si="132"/>
        <v>42842</v>
      </c>
      <c r="O360" s="5">
        <f>DATE(2019,2,15)</f>
        <v>43511</v>
      </c>
      <c r="P360" s="5">
        <f t="shared" si="109"/>
        <v>44606</v>
      </c>
      <c r="Q360" s="1">
        <v>1294</v>
      </c>
      <c r="R360" s="1">
        <v>1200</v>
      </c>
      <c r="S360" s="1">
        <f t="shared" si="110"/>
        <v>1200</v>
      </c>
      <c r="T360" s="1">
        <v>2.5</v>
      </c>
      <c r="U360" s="1" t="str">
        <f t="shared" si="111"/>
        <v>NÃO</v>
      </c>
      <c r="V360" s="1">
        <f t="shared" si="112"/>
        <v>670</v>
      </c>
      <c r="W360" s="4">
        <f t="shared" si="113"/>
        <v>1.791044776119403</v>
      </c>
      <c r="X360" s="4">
        <f t="shared" si="114"/>
        <v>653.73134328358208</v>
      </c>
      <c r="Y360" s="4">
        <f t="shared" si="115"/>
        <v>0.81716417910447758</v>
      </c>
      <c r="AB360" s="5">
        <f t="shared" si="116"/>
        <v>45292</v>
      </c>
      <c r="AC360" s="5">
        <f t="shared" si="117"/>
        <v>45657</v>
      </c>
      <c r="AE360" s="1">
        <f t="shared" si="118"/>
        <v>0</v>
      </c>
      <c r="AF360" s="1">
        <f t="shared" si="119"/>
        <v>0</v>
      </c>
      <c r="AG360" s="1">
        <f t="shared" si="120"/>
        <v>0</v>
      </c>
      <c r="AH360" s="1">
        <f t="shared" si="121"/>
        <v>0</v>
      </c>
      <c r="AI360" s="1">
        <f t="shared" si="122"/>
        <v>183</v>
      </c>
      <c r="AJ360" s="3">
        <f t="shared" si="123"/>
        <v>0.5</v>
      </c>
      <c r="AK360" s="3">
        <f t="shared" si="124"/>
        <v>0.40858208955223879</v>
      </c>
      <c r="AL360" s="3">
        <f t="shared" si="125"/>
        <v>0</v>
      </c>
      <c r="AM360" s="3">
        <f t="shared" si="126"/>
        <v>0</v>
      </c>
      <c r="AN360" s="3">
        <f t="shared" si="127"/>
        <v>0</v>
      </c>
      <c r="AO360" s="3">
        <f t="shared" si="128"/>
        <v>0</v>
      </c>
      <c r="AP360" s="1" t="str">
        <f>INDEX({"EAD";"EAD";"EAD";"EAD MOOC";"EAD";"EAD";"EAD FP";"EAD";"PRESENCIAL";"PRESENCIAL";"PRESENCIAL";"PRESENCIAL"}, MATCH(CONCATENATE(E360, ".", F360),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61" spans="1:42" x14ac:dyDescent="0.25">
      <c r="A361" s="1" t="s">
        <v>27</v>
      </c>
      <c r="B361" s="1" t="s">
        <v>43</v>
      </c>
      <c r="C361" s="1" t="s">
        <v>29</v>
      </c>
      <c r="D361" s="1" t="s">
        <v>44</v>
      </c>
      <c r="E361" s="1" t="s">
        <v>120</v>
      </c>
      <c r="F361" s="1" t="s">
        <v>21</v>
      </c>
      <c r="G361" s="1" t="s">
        <v>128</v>
      </c>
      <c r="H361" s="1" t="s">
        <v>526</v>
      </c>
      <c r="I361" s="1" t="s">
        <v>503</v>
      </c>
      <c r="J361" s="1" t="s">
        <v>125</v>
      </c>
      <c r="K361" s="1" t="s">
        <v>163</v>
      </c>
      <c r="L361" s="1">
        <v>2141599</v>
      </c>
      <c r="M361" s="1" t="s">
        <v>564</v>
      </c>
      <c r="N361" s="5">
        <f t="shared" si="132"/>
        <v>42842</v>
      </c>
      <c r="O361" s="5">
        <f>DATE(2019,2,15)</f>
        <v>43511</v>
      </c>
      <c r="P361" s="5">
        <f t="shared" si="109"/>
        <v>44606</v>
      </c>
      <c r="Q361" s="1">
        <v>1707</v>
      </c>
      <c r="R361" s="1">
        <v>1200</v>
      </c>
      <c r="S361" s="1">
        <f t="shared" si="110"/>
        <v>1200</v>
      </c>
      <c r="T361" s="1">
        <v>2.5</v>
      </c>
      <c r="U361" s="1" t="str">
        <f t="shared" si="111"/>
        <v>NÃO</v>
      </c>
      <c r="V361" s="1">
        <f t="shared" si="112"/>
        <v>670</v>
      </c>
      <c r="W361" s="4">
        <f t="shared" si="113"/>
        <v>1.791044776119403</v>
      </c>
      <c r="X361" s="4">
        <f t="shared" si="114"/>
        <v>653.73134328358208</v>
      </c>
      <c r="Y361" s="4">
        <f t="shared" si="115"/>
        <v>0.81716417910447758</v>
      </c>
      <c r="AB361" s="5">
        <f t="shared" si="116"/>
        <v>45292</v>
      </c>
      <c r="AC361" s="5">
        <f t="shared" si="117"/>
        <v>45657</v>
      </c>
      <c r="AE361" s="1">
        <f t="shared" si="118"/>
        <v>0</v>
      </c>
      <c r="AF361" s="1">
        <f t="shared" si="119"/>
        <v>0</v>
      </c>
      <c r="AG361" s="1">
        <f t="shared" si="120"/>
        <v>0</v>
      </c>
      <c r="AH361" s="1">
        <f t="shared" si="121"/>
        <v>0</v>
      </c>
      <c r="AI361" s="1">
        <f t="shared" si="122"/>
        <v>183</v>
      </c>
      <c r="AJ361" s="3">
        <f t="shared" si="123"/>
        <v>0.5</v>
      </c>
      <c r="AK361" s="3">
        <f t="shared" si="124"/>
        <v>0.40858208955223879</v>
      </c>
      <c r="AL361" s="3">
        <f t="shared" si="125"/>
        <v>0</v>
      </c>
      <c r="AM361" s="3">
        <f t="shared" si="126"/>
        <v>0</v>
      </c>
      <c r="AN361" s="3">
        <f t="shared" si="127"/>
        <v>0</v>
      </c>
      <c r="AO361" s="3">
        <f t="shared" si="128"/>
        <v>0</v>
      </c>
      <c r="AP361" s="1" t="str">
        <f>INDEX({"EAD";"EAD";"EAD";"EAD MOOC";"EAD";"EAD";"EAD FP";"EAD";"PRESENCIAL";"PRESENCIAL";"PRESENCIAL";"PRESENCIAL"}, MATCH(CONCATENATE(E361, ".", F361),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62" spans="1:42" x14ac:dyDescent="0.25">
      <c r="A362" s="1" t="s">
        <v>27</v>
      </c>
      <c r="B362" s="1" t="s">
        <v>43</v>
      </c>
      <c r="C362" s="1" t="s">
        <v>29</v>
      </c>
      <c r="D362" s="1" t="s">
        <v>44</v>
      </c>
      <c r="E362" s="1" t="s">
        <v>170</v>
      </c>
      <c r="F362" s="1" t="s">
        <v>510</v>
      </c>
      <c r="G362" s="1" t="s">
        <v>140</v>
      </c>
      <c r="H362" s="1" t="s">
        <v>500</v>
      </c>
      <c r="I362" s="1" t="s">
        <v>209</v>
      </c>
      <c r="J362" s="1" t="s">
        <v>125</v>
      </c>
      <c r="K362" s="1" t="s">
        <v>109</v>
      </c>
      <c r="L362" s="1">
        <v>2141607</v>
      </c>
      <c r="M362" s="1" t="s">
        <v>565</v>
      </c>
      <c r="N362" s="5">
        <f t="shared" si="132"/>
        <v>42842</v>
      </c>
      <c r="O362" s="5">
        <f>DATE(2020,1,17)</f>
        <v>43847</v>
      </c>
      <c r="P362" s="5">
        <f t="shared" si="109"/>
        <v>44942</v>
      </c>
      <c r="Q362" s="1">
        <v>2280</v>
      </c>
      <c r="R362" s="1">
        <v>2000</v>
      </c>
      <c r="S362" s="1">
        <f t="shared" si="110"/>
        <v>2000</v>
      </c>
      <c r="T362" s="1">
        <v>1</v>
      </c>
      <c r="U362" s="1" t="str">
        <f t="shared" si="111"/>
        <v>NÃO</v>
      </c>
      <c r="V362" s="1">
        <f t="shared" si="112"/>
        <v>1006</v>
      </c>
      <c r="W362" s="4">
        <f t="shared" si="113"/>
        <v>1.9880715705765408</v>
      </c>
      <c r="X362" s="4">
        <f t="shared" si="114"/>
        <v>725.64612326043743</v>
      </c>
      <c r="Y362" s="4">
        <f t="shared" si="115"/>
        <v>0.90705765407554684</v>
      </c>
      <c r="AB362" s="5">
        <f t="shared" si="116"/>
        <v>45292</v>
      </c>
      <c r="AC362" s="5">
        <f t="shared" si="117"/>
        <v>45657</v>
      </c>
      <c r="AE362" s="1">
        <f t="shared" si="118"/>
        <v>0</v>
      </c>
      <c r="AF362" s="1">
        <f t="shared" si="119"/>
        <v>0</v>
      </c>
      <c r="AG362" s="1">
        <f t="shared" si="120"/>
        <v>0</v>
      </c>
      <c r="AH362" s="1">
        <f t="shared" si="121"/>
        <v>0</v>
      </c>
      <c r="AI362" s="1">
        <f t="shared" si="122"/>
        <v>183</v>
      </c>
      <c r="AJ362" s="3">
        <f t="shared" si="123"/>
        <v>0.5</v>
      </c>
      <c r="AK362" s="3">
        <f t="shared" si="124"/>
        <v>0.45352882703777342</v>
      </c>
      <c r="AL362" s="3">
        <f t="shared" si="125"/>
        <v>0</v>
      </c>
      <c r="AM362" s="3">
        <f t="shared" si="126"/>
        <v>0</v>
      </c>
      <c r="AN362" s="3">
        <f t="shared" si="127"/>
        <v>0</v>
      </c>
      <c r="AO362" s="3">
        <f t="shared" si="128"/>
        <v>0</v>
      </c>
      <c r="AP362" s="1" t="str">
        <f>INDEX({"EAD";"EAD";"EAD";"EAD MOOC";"EAD";"EAD";"EAD FP";"EAD";"PRESENCIAL";"PRESENCIAL";"PRESENCIAL";"PRESENCIAL"}, MATCH(CONCATENATE(E362, ".", F362),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363" spans="1:42" x14ac:dyDescent="0.25">
      <c r="A363" s="1" t="s">
        <v>27</v>
      </c>
      <c r="B363" s="1" t="s">
        <v>43</v>
      </c>
      <c r="C363" s="1" t="s">
        <v>29</v>
      </c>
      <c r="D363" s="1" t="s">
        <v>44</v>
      </c>
      <c r="E363" s="1" t="s">
        <v>120</v>
      </c>
      <c r="F363" s="1" t="s">
        <v>21</v>
      </c>
      <c r="G363" s="1" t="s">
        <v>121</v>
      </c>
      <c r="H363" s="1" t="s">
        <v>506</v>
      </c>
      <c r="I363" s="1" t="s">
        <v>209</v>
      </c>
      <c r="J363" s="1" t="s">
        <v>125</v>
      </c>
      <c r="K363" s="1" t="s">
        <v>109</v>
      </c>
      <c r="L363" s="1">
        <v>2142003</v>
      </c>
      <c r="M363" s="1" t="s">
        <v>566</v>
      </c>
      <c r="N363" s="5">
        <f t="shared" si="132"/>
        <v>42842</v>
      </c>
      <c r="O363" s="5">
        <f>DATE(2021,12,23)</f>
        <v>44553</v>
      </c>
      <c r="P363" s="5">
        <f t="shared" si="109"/>
        <v>45648</v>
      </c>
      <c r="Q363" s="1">
        <v>4280</v>
      </c>
      <c r="R363" s="1">
        <v>3200</v>
      </c>
      <c r="S363" s="1">
        <f t="shared" si="110"/>
        <v>3200</v>
      </c>
      <c r="T363" s="1">
        <v>2.5</v>
      </c>
      <c r="U363" s="1" t="str">
        <f t="shared" si="111"/>
        <v>SIM</v>
      </c>
      <c r="V363" s="1">
        <f t="shared" si="112"/>
        <v>1712</v>
      </c>
      <c r="W363" s="4">
        <f t="shared" si="113"/>
        <v>1.8691588785046729</v>
      </c>
      <c r="X363" s="4">
        <f t="shared" si="114"/>
        <v>682.24299065420564</v>
      </c>
      <c r="Y363" s="4">
        <f t="shared" si="115"/>
        <v>0.85280373831775702</v>
      </c>
      <c r="AB363" s="5">
        <f t="shared" si="116"/>
        <v>45292</v>
      </c>
      <c r="AC363" s="5">
        <f t="shared" si="117"/>
        <v>45657</v>
      </c>
      <c r="AD363" s="1">
        <v>22</v>
      </c>
      <c r="AE363" s="1">
        <f t="shared" si="118"/>
        <v>0</v>
      </c>
      <c r="AF363" s="1">
        <f t="shared" si="119"/>
        <v>0</v>
      </c>
      <c r="AG363" s="1">
        <f t="shared" si="120"/>
        <v>0</v>
      </c>
      <c r="AH363" s="1">
        <f t="shared" si="121"/>
        <v>0</v>
      </c>
      <c r="AI363" s="1">
        <f t="shared" si="122"/>
        <v>183</v>
      </c>
      <c r="AJ363" s="3">
        <f t="shared" si="123"/>
        <v>0.5</v>
      </c>
      <c r="AK363" s="3">
        <f t="shared" si="124"/>
        <v>0.42640186915887851</v>
      </c>
      <c r="AL363" s="3">
        <f t="shared" si="125"/>
        <v>4.6904205607476639</v>
      </c>
      <c r="AM363" s="3">
        <f t="shared" si="126"/>
        <v>11.72605140186916</v>
      </c>
      <c r="AN363" s="3">
        <f t="shared" si="127"/>
        <v>0</v>
      </c>
      <c r="AO363" s="3">
        <f t="shared" si="128"/>
        <v>11.72605140186916</v>
      </c>
      <c r="AP363" s="1" t="str">
        <f>INDEX({"EAD";"EAD";"EAD";"EAD MOOC";"EAD";"EAD";"EAD FP";"EAD";"PRESENCIAL";"PRESENCIAL";"PRESENCIAL";"PRESENCIAL"}, MATCH(CONCATENATE(E363, ".", F363),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64" spans="1:42" x14ac:dyDescent="0.25">
      <c r="A364" s="1" t="s">
        <v>27</v>
      </c>
      <c r="B364" s="1" t="s">
        <v>43</v>
      </c>
      <c r="C364" s="1" t="s">
        <v>29</v>
      </c>
      <c r="D364" s="1" t="s">
        <v>44</v>
      </c>
      <c r="E364" s="1" t="s">
        <v>120</v>
      </c>
      <c r="F364" s="1" t="s">
        <v>21</v>
      </c>
      <c r="G364" s="1" t="s">
        <v>121</v>
      </c>
      <c r="H364" s="1" t="s">
        <v>508</v>
      </c>
      <c r="I364" s="1" t="s">
        <v>503</v>
      </c>
      <c r="J364" s="1" t="s">
        <v>125</v>
      </c>
      <c r="K364" s="1" t="s">
        <v>109</v>
      </c>
      <c r="L364" s="1">
        <v>2142011</v>
      </c>
      <c r="M364" s="1" t="s">
        <v>567</v>
      </c>
      <c r="N364" s="5">
        <f t="shared" si="132"/>
        <v>42842</v>
      </c>
      <c r="O364" s="5">
        <f>DATE(2021,12,23)</f>
        <v>44553</v>
      </c>
      <c r="P364" s="5">
        <f t="shared" si="109"/>
        <v>45648</v>
      </c>
      <c r="Q364" s="1">
        <v>4430</v>
      </c>
      <c r="R364" s="1">
        <v>3600</v>
      </c>
      <c r="S364" s="1">
        <f t="shared" si="110"/>
        <v>3600</v>
      </c>
      <c r="T364" s="1">
        <v>2.5</v>
      </c>
      <c r="U364" s="1" t="str">
        <f t="shared" si="111"/>
        <v>SIM</v>
      </c>
      <c r="V364" s="1">
        <f t="shared" si="112"/>
        <v>1712</v>
      </c>
      <c r="W364" s="4">
        <f t="shared" si="113"/>
        <v>2.1028037383177569</v>
      </c>
      <c r="X364" s="4">
        <f t="shared" si="114"/>
        <v>767.52336448598123</v>
      </c>
      <c r="Y364" s="4">
        <f t="shared" si="115"/>
        <v>0.95940420560747652</v>
      </c>
      <c r="AB364" s="5">
        <f t="shared" si="116"/>
        <v>45292</v>
      </c>
      <c r="AC364" s="5">
        <f t="shared" si="117"/>
        <v>45657</v>
      </c>
      <c r="AD364" s="1">
        <v>17</v>
      </c>
      <c r="AE364" s="1">
        <f t="shared" si="118"/>
        <v>0</v>
      </c>
      <c r="AF364" s="1">
        <f t="shared" si="119"/>
        <v>0</v>
      </c>
      <c r="AG364" s="1">
        <f t="shared" si="120"/>
        <v>0</v>
      </c>
      <c r="AH364" s="1">
        <f t="shared" si="121"/>
        <v>0</v>
      </c>
      <c r="AI364" s="1">
        <f t="shared" si="122"/>
        <v>183</v>
      </c>
      <c r="AJ364" s="3">
        <f t="shared" si="123"/>
        <v>0.5</v>
      </c>
      <c r="AK364" s="3">
        <f t="shared" si="124"/>
        <v>0.47970210280373826</v>
      </c>
      <c r="AL364" s="3">
        <f t="shared" si="125"/>
        <v>4.0774678738317753</v>
      </c>
      <c r="AM364" s="3">
        <f t="shared" si="126"/>
        <v>10.193669684579438</v>
      </c>
      <c r="AN364" s="3">
        <f t="shared" si="127"/>
        <v>0</v>
      </c>
      <c r="AO364" s="3">
        <f t="shared" si="128"/>
        <v>10.193669684579438</v>
      </c>
      <c r="AP364" s="1" t="str">
        <f>INDEX({"EAD";"EAD";"EAD";"EAD MOOC";"EAD";"EAD";"EAD FP";"EAD";"PRESENCIAL";"PRESENCIAL";"PRESENCIAL";"PRESENCIAL"}, MATCH(CONCATENATE(E364, ".", F364),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65" spans="1:42" x14ac:dyDescent="0.25">
      <c r="A365" s="1" t="s">
        <v>27</v>
      </c>
      <c r="B365" s="1" t="s">
        <v>43</v>
      </c>
      <c r="C365" s="1" t="s">
        <v>29</v>
      </c>
      <c r="D365" s="1" t="s">
        <v>44</v>
      </c>
      <c r="E365" s="1" t="s">
        <v>120</v>
      </c>
      <c r="F365" s="1" t="s">
        <v>21</v>
      </c>
      <c r="G365" s="1" t="s">
        <v>121</v>
      </c>
      <c r="H365" s="1" t="s">
        <v>495</v>
      </c>
      <c r="I365" s="1" t="s">
        <v>124</v>
      </c>
      <c r="J365" s="1" t="s">
        <v>125</v>
      </c>
      <c r="K365" s="1" t="s">
        <v>109</v>
      </c>
      <c r="L365" s="1">
        <v>2142016</v>
      </c>
      <c r="M365" s="1" t="s">
        <v>568</v>
      </c>
      <c r="N365" s="5">
        <f t="shared" si="132"/>
        <v>42842</v>
      </c>
      <c r="O365" s="5">
        <f>DATE(2021,2,19)</f>
        <v>44246</v>
      </c>
      <c r="P365" s="5">
        <f t="shared" si="109"/>
        <v>45341</v>
      </c>
      <c r="Q365" s="1">
        <v>2587</v>
      </c>
      <c r="R365" s="1">
        <v>2400</v>
      </c>
      <c r="S365" s="1">
        <f t="shared" si="110"/>
        <v>2400</v>
      </c>
      <c r="T365" s="1">
        <v>1</v>
      </c>
      <c r="U365" s="1" t="str">
        <f t="shared" si="111"/>
        <v>SIM</v>
      </c>
      <c r="V365" s="1">
        <f t="shared" si="112"/>
        <v>1405</v>
      </c>
      <c r="W365" s="4">
        <f t="shared" si="113"/>
        <v>1.708185053380783</v>
      </c>
      <c r="X365" s="4">
        <f t="shared" si="114"/>
        <v>623.48754448398574</v>
      </c>
      <c r="Y365" s="4">
        <f t="shared" si="115"/>
        <v>0.77935943060498214</v>
      </c>
      <c r="AB365" s="5">
        <f t="shared" si="116"/>
        <v>45292</v>
      </c>
      <c r="AC365" s="5">
        <f t="shared" si="117"/>
        <v>45657</v>
      </c>
      <c r="AD365" s="1">
        <v>8</v>
      </c>
      <c r="AE365" s="1">
        <f t="shared" si="118"/>
        <v>0</v>
      </c>
      <c r="AF365" s="1">
        <f t="shared" si="119"/>
        <v>0</v>
      </c>
      <c r="AG365" s="1">
        <f t="shared" si="120"/>
        <v>0</v>
      </c>
      <c r="AH365" s="1">
        <f t="shared" si="121"/>
        <v>0</v>
      </c>
      <c r="AI365" s="1">
        <f t="shared" si="122"/>
        <v>183</v>
      </c>
      <c r="AJ365" s="3">
        <f t="shared" si="123"/>
        <v>0.5</v>
      </c>
      <c r="AK365" s="3">
        <f t="shared" si="124"/>
        <v>0.38967971530249107</v>
      </c>
      <c r="AL365" s="3">
        <f t="shared" si="125"/>
        <v>1.5587188612099643</v>
      </c>
      <c r="AM365" s="3">
        <f t="shared" si="126"/>
        <v>1.5587188612099643</v>
      </c>
      <c r="AN365" s="3">
        <f t="shared" si="127"/>
        <v>0</v>
      </c>
      <c r="AO365" s="3">
        <f t="shared" si="128"/>
        <v>1.5587188612099643</v>
      </c>
      <c r="AP365" s="1" t="str">
        <f>INDEX({"EAD";"EAD";"EAD";"EAD MOOC";"EAD";"EAD";"EAD FP";"EAD";"PRESENCIAL";"PRESENCIAL";"PRESENCIAL";"PRESENCIAL"}, MATCH(CONCATENATE(E365, ".", F365),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66" spans="1:42" x14ac:dyDescent="0.25">
      <c r="A366" s="1" t="s">
        <v>27</v>
      </c>
      <c r="B366" s="1" t="s">
        <v>43</v>
      </c>
      <c r="C366" s="1" t="s">
        <v>29</v>
      </c>
      <c r="D366" s="1" t="s">
        <v>44</v>
      </c>
      <c r="E366" s="1" t="s">
        <v>120</v>
      </c>
      <c r="F366" s="1" t="s">
        <v>21</v>
      </c>
      <c r="G366" s="1" t="s">
        <v>121</v>
      </c>
      <c r="H366" s="1" t="s">
        <v>537</v>
      </c>
      <c r="I366" s="1" t="s">
        <v>187</v>
      </c>
      <c r="J366" s="1" t="s">
        <v>125</v>
      </c>
      <c r="K366" s="1" t="s">
        <v>109</v>
      </c>
      <c r="L366" s="1">
        <v>2142017</v>
      </c>
      <c r="M366" s="1" t="s">
        <v>569</v>
      </c>
      <c r="N366" s="5">
        <f t="shared" si="132"/>
        <v>42842</v>
      </c>
      <c r="O366" s="5">
        <f>DATE(2020,1,17)</f>
        <v>43847</v>
      </c>
      <c r="P366" s="5">
        <f t="shared" si="109"/>
        <v>44942</v>
      </c>
      <c r="Q366" s="1">
        <v>2600</v>
      </c>
      <c r="R366" s="1">
        <v>2400</v>
      </c>
      <c r="S366" s="1">
        <f t="shared" si="110"/>
        <v>2400</v>
      </c>
      <c r="T366" s="1">
        <v>1</v>
      </c>
      <c r="U366" s="1" t="str">
        <f t="shared" si="111"/>
        <v>NÃO</v>
      </c>
      <c r="V366" s="1">
        <f t="shared" si="112"/>
        <v>1006</v>
      </c>
      <c r="W366" s="4">
        <f t="shared" si="113"/>
        <v>2.3856858846918487</v>
      </c>
      <c r="X366" s="4">
        <f t="shared" si="114"/>
        <v>870.77534791252481</v>
      </c>
      <c r="Y366" s="4">
        <f t="shared" si="115"/>
        <v>1.088469184890656</v>
      </c>
      <c r="AB366" s="5">
        <f t="shared" si="116"/>
        <v>45292</v>
      </c>
      <c r="AC366" s="5">
        <f t="shared" si="117"/>
        <v>45657</v>
      </c>
      <c r="AE366" s="1">
        <f t="shared" si="118"/>
        <v>0</v>
      </c>
      <c r="AF366" s="1">
        <f t="shared" si="119"/>
        <v>0</v>
      </c>
      <c r="AG366" s="1">
        <f t="shared" si="120"/>
        <v>0</v>
      </c>
      <c r="AH366" s="1">
        <f t="shared" si="121"/>
        <v>0</v>
      </c>
      <c r="AI366" s="1">
        <f t="shared" si="122"/>
        <v>183</v>
      </c>
      <c r="AJ366" s="3">
        <f t="shared" si="123"/>
        <v>0.5</v>
      </c>
      <c r="AK366" s="3">
        <f t="shared" si="124"/>
        <v>0.54423459244532801</v>
      </c>
      <c r="AL366" s="3">
        <f t="shared" si="125"/>
        <v>0</v>
      </c>
      <c r="AM366" s="3">
        <f t="shared" si="126"/>
        <v>0</v>
      </c>
      <c r="AN366" s="3">
        <f t="shared" si="127"/>
        <v>0</v>
      </c>
      <c r="AO366" s="3">
        <f t="shared" si="128"/>
        <v>0</v>
      </c>
      <c r="AP366" s="1" t="str">
        <f>INDEX({"EAD";"EAD";"EAD";"EAD MOOC";"EAD";"EAD";"EAD FP";"EAD";"PRESENCIAL";"PRESENCIAL";"PRESENCIAL";"PRESENCIAL"}, MATCH(CONCATENATE(E366, ".", F366),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67" spans="1:42" x14ac:dyDescent="0.25">
      <c r="A367" s="1" t="s">
        <v>27</v>
      </c>
      <c r="B367" s="1" t="s">
        <v>43</v>
      </c>
      <c r="C367" s="1" t="s">
        <v>29</v>
      </c>
      <c r="D367" s="1" t="s">
        <v>44</v>
      </c>
      <c r="E367" s="1" t="s">
        <v>120</v>
      </c>
      <c r="F367" s="1" t="s">
        <v>21</v>
      </c>
      <c r="G367" s="1" t="s">
        <v>140</v>
      </c>
      <c r="H367" s="1" t="s">
        <v>502</v>
      </c>
      <c r="I367" s="1" t="s">
        <v>503</v>
      </c>
      <c r="J367" s="1" t="s">
        <v>125</v>
      </c>
      <c r="K367" s="1" t="s">
        <v>109</v>
      </c>
      <c r="L367" s="1">
        <v>2142018</v>
      </c>
      <c r="M367" s="1" t="s">
        <v>570</v>
      </c>
      <c r="N367" s="5">
        <f t="shared" si="132"/>
        <v>42842</v>
      </c>
      <c r="O367" s="5">
        <f>DATE(2020,8,14)</f>
        <v>44057</v>
      </c>
      <c r="P367" s="5">
        <f t="shared" si="109"/>
        <v>45152</v>
      </c>
      <c r="Q367" s="1">
        <v>2406</v>
      </c>
      <c r="R367" s="1">
        <v>2400</v>
      </c>
      <c r="S367" s="1">
        <f t="shared" si="110"/>
        <v>2400</v>
      </c>
      <c r="T367" s="1">
        <v>2.5</v>
      </c>
      <c r="U367" s="1" t="str">
        <f t="shared" si="111"/>
        <v>NÃO</v>
      </c>
      <c r="V367" s="1">
        <f t="shared" si="112"/>
        <v>1216</v>
      </c>
      <c r="W367" s="4">
        <f t="shared" si="113"/>
        <v>1.9736842105263157</v>
      </c>
      <c r="X367" s="4">
        <f t="shared" si="114"/>
        <v>720.3947368421052</v>
      </c>
      <c r="Y367" s="4">
        <f t="shared" si="115"/>
        <v>0.90049342105263153</v>
      </c>
      <c r="AB367" s="5">
        <f t="shared" si="116"/>
        <v>45292</v>
      </c>
      <c r="AC367" s="5">
        <f t="shared" si="117"/>
        <v>45657</v>
      </c>
      <c r="AD367" s="1">
        <v>1</v>
      </c>
      <c r="AE367" s="1">
        <f t="shared" si="118"/>
        <v>0</v>
      </c>
      <c r="AF367" s="1">
        <f t="shared" si="119"/>
        <v>0</v>
      </c>
      <c r="AG367" s="1">
        <f t="shared" si="120"/>
        <v>0</v>
      </c>
      <c r="AH367" s="1">
        <f t="shared" si="121"/>
        <v>0</v>
      </c>
      <c r="AI367" s="1">
        <f t="shared" si="122"/>
        <v>183</v>
      </c>
      <c r="AJ367" s="3">
        <f t="shared" si="123"/>
        <v>0.5</v>
      </c>
      <c r="AK367" s="3">
        <f t="shared" si="124"/>
        <v>0.45024671052631576</v>
      </c>
      <c r="AL367" s="3">
        <f t="shared" si="125"/>
        <v>0</v>
      </c>
      <c r="AM367" s="3">
        <f t="shared" si="126"/>
        <v>0</v>
      </c>
      <c r="AN367" s="3">
        <f t="shared" si="127"/>
        <v>0</v>
      </c>
      <c r="AO367" s="3">
        <f t="shared" si="128"/>
        <v>0</v>
      </c>
      <c r="AP367" s="1" t="str">
        <f>INDEX({"EAD";"EAD";"EAD";"EAD MOOC";"EAD";"EAD";"EAD FP";"EAD";"PRESENCIAL";"PRESENCIAL";"PRESENCIAL";"PRESENCIAL"}, MATCH(CONCATENATE(E367, ".", F367),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68" spans="1:42" x14ac:dyDescent="0.25">
      <c r="A368" s="1" t="s">
        <v>27</v>
      </c>
      <c r="B368" s="1" t="s">
        <v>43</v>
      </c>
      <c r="C368" s="1" t="s">
        <v>29</v>
      </c>
      <c r="D368" s="1" t="s">
        <v>44</v>
      </c>
      <c r="E368" s="1" t="s">
        <v>120</v>
      </c>
      <c r="F368" s="1" t="s">
        <v>21</v>
      </c>
      <c r="G368" s="1" t="s">
        <v>140</v>
      </c>
      <c r="H368" s="1" t="s">
        <v>529</v>
      </c>
      <c r="I368" s="1" t="s">
        <v>289</v>
      </c>
      <c r="J368" s="1" t="s">
        <v>125</v>
      </c>
      <c r="K368" s="1" t="s">
        <v>109</v>
      </c>
      <c r="L368" s="1">
        <v>2142021</v>
      </c>
      <c r="M368" s="1" t="s">
        <v>571</v>
      </c>
      <c r="N368" s="5">
        <f t="shared" si="132"/>
        <v>42842</v>
      </c>
      <c r="O368" s="5">
        <f>DATE(2020,8,14)</f>
        <v>44057</v>
      </c>
      <c r="P368" s="5">
        <f t="shared" si="109"/>
        <v>45152</v>
      </c>
      <c r="Q368" s="1">
        <v>2509</v>
      </c>
      <c r="R368" s="1">
        <v>2400</v>
      </c>
      <c r="S368" s="1">
        <f t="shared" si="110"/>
        <v>2400</v>
      </c>
      <c r="T368" s="1">
        <v>2.5</v>
      </c>
      <c r="U368" s="1" t="str">
        <f t="shared" si="111"/>
        <v>NÃO</v>
      </c>
      <c r="V368" s="1">
        <f t="shared" si="112"/>
        <v>1216</v>
      </c>
      <c r="W368" s="4">
        <f t="shared" si="113"/>
        <v>1.9736842105263157</v>
      </c>
      <c r="X368" s="4">
        <f t="shared" si="114"/>
        <v>720.3947368421052</v>
      </c>
      <c r="Y368" s="4">
        <f t="shared" si="115"/>
        <v>0.90049342105263153</v>
      </c>
      <c r="AB368" s="5">
        <f t="shared" si="116"/>
        <v>45292</v>
      </c>
      <c r="AC368" s="5">
        <f t="shared" si="117"/>
        <v>45657</v>
      </c>
      <c r="AE368" s="1">
        <f t="shared" si="118"/>
        <v>0</v>
      </c>
      <c r="AF368" s="1">
        <f t="shared" si="119"/>
        <v>0</v>
      </c>
      <c r="AG368" s="1">
        <f t="shared" si="120"/>
        <v>0</v>
      </c>
      <c r="AH368" s="1">
        <f t="shared" si="121"/>
        <v>0</v>
      </c>
      <c r="AI368" s="1">
        <f t="shared" si="122"/>
        <v>183</v>
      </c>
      <c r="AJ368" s="3">
        <f t="shared" si="123"/>
        <v>0.5</v>
      </c>
      <c r="AK368" s="3">
        <f t="shared" si="124"/>
        <v>0.45024671052631576</v>
      </c>
      <c r="AL368" s="3">
        <f t="shared" si="125"/>
        <v>0</v>
      </c>
      <c r="AM368" s="3">
        <f t="shared" si="126"/>
        <v>0</v>
      </c>
      <c r="AN368" s="3">
        <f t="shared" si="127"/>
        <v>0</v>
      </c>
      <c r="AO368" s="3">
        <f t="shared" si="128"/>
        <v>0</v>
      </c>
      <c r="AP368" s="1" t="str">
        <f>INDEX({"EAD";"EAD";"EAD";"EAD MOOC";"EAD";"EAD";"EAD FP";"EAD";"PRESENCIAL";"PRESENCIAL";"PRESENCIAL";"PRESENCIAL"}, MATCH(CONCATENATE(E368, ".", F368),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69" spans="1:42" x14ac:dyDescent="0.25">
      <c r="A369" s="1" t="s">
        <v>27</v>
      </c>
      <c r="B369" s="1" t="s">
        <v>43</v>
      </c>
      <c r="C369" s="1" t="s">
        <v>29</v>
      </c>
      <c r="D369" s="1" t="s">
        <v>44</v>
      </c>
      <c r="E369" s="1" t="s">
        <v>120</v>
      </c>
      <c r="F369" s="1" t="s">
        <v>21</v>
      </c>
      <c r="G369" s="1" t="s">
        <v>140</v>
      </c>
      <c r="H369" s="1" t="s">
        <v>534</v>
      </c>
      <c r="I369" s="1" t="s">
        <v>289</v>
      </c>
      <c r="J369" s="1" t="s">
        <v>125</v>
      </c>
      <c r="K369" s="1" t="s">
        <v>109</v>
      </c>
      <c r="L369" s="1">
        <v>2142024</v>
      </c>
      <c r="M369" s="1" t="s">
        <v>572</v>
      </c>
      <c r="N369" s="5">
        <f t="shared" si="132"/>
        <v>42842</v>
      </c>
      <c r="O369" s="5">
        <f>DATE(2020,1,17)</f>
        <v>43847</v>
      </c>
      <c r="P369" s="5">
        <f t="shared" si="109"/>
        <v>44942</v>
      </c>
      <c r="Q369" s="1">
        <v>2032</v>
      </c>
      <c r="R369" s="1">
        <v>2400</v>
      </c>
      <c r="S369" s="1">
        <f t="shared" si="110"/>
        <v>2400</v>
      </c>
      <c r="T369" s="1">
        <v>2.5</v>
      </c>
      <c r="U369" s="1" t="str">
        <f t="shared" si="111"/>
        <v>NÃO</v>
      </c>
      <c r="V369" s="1">
        <f t="shared" si="112"/>
        <v>1006</v>
      </c>
      <c r="W369" s="4">
        <f t="shared" si="113"/>
        <v>2.0198807157057654</v>
      </c>
      <c r="X369" s="4">
        <f t="shared" si="114"/>
        <v>737.25646123260435</v>
      </c>
      <c r="Y369" s="4">
        <f t="shared" si="115"/>
        <v>0.92157057654075547</v>
      </c>
      <c r="AB369" s="5">
        <f t="shared" si="116"/>
        <v>45292</v>
      </c>
      <c r="AC369" s="5">
        <f t="shared" si="117"/>
        <v>45657</v>
      </c>
      <c r="AD369" s="1">
        <v>4</v>
      </c>
      <c r="AE369" s="1">
        <f t="shared" si="118"/>
        <v>0</v>
      </c>
      <c r="AF369" s="1">
        <f t="shared" si="119"/>
        <v>0</v>
      </c>
      <c r="AG369" s="1">
        <f t="shared" si="120"/>
        <v>0</v>
      </c>
      <c r="AH369" s="1">
        <f t="shared" si="121"/>
        <v>0</v>
      </c>
      <c r="AI369" s="1">
        <f t="shared" si="122"/>
        <v>183</v>
      </c>
      <c r="AJ369" s="3">
        <f t="shared" si="123"/>
        <v>0.5</v>
      </c>
      <c r="AK369" s="3">
        <f t="shared" si="124"/>
        <v>0.46078528827037774</v>
      </c>
      <c r="AL369" s="3">
        <f t="shared" si="125"/>
        <v>0</v>
      </c>
      <c r="AM369" s="3">
        <f t="shared" si="126"/>
        <v>0</v>
      </c>
      <c r="AN369" s="3">
        <f t="shared" si="127"/>
        <v>0</v>
      </c>
      <c r="AO369" s="3">
        <f t="shared" si="128"/>
        <v>0</v>
      </c>
      <c r="AP369" s="1" t="str">
        <f>INDEX({"EAD";"EAD";"EAD";"EAD MOOC";"EAD";"EAD";"EAD FP";"EAD";"PRESENCIAL";"PRESENCIAL";"PRESENCIAL";"PRESENCIAL"}, MATCH(CONCATENATE(E369, ".", F369),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70" spans="1:42" x14ac:dyDescent="0.25">
      <c r="A370" s="1" t="s">
        <v>27</v>
      </c>
      <c r="B370" s="1" t="s">
        <v>43</v>
      </c>
      <c r="C370" s="1" t="s">
        <v>29</v>
      </c>
      <c r="D370" s="1" t="s">
        <v>44</v>
      </c>
      <c r="E370" s="1" t="s">
        <v>120</v>
      </c>
      <c r="F370" s="1" t="s">
        <v>21</v>
      </c>
      <c r="G370" s="1" t="s">
        <v>140</v>
      </c>
      <c r="H370" s="1" t="s">
        <v>550</v>
      </c>
      <c r="I370" s="1" t="s">
        <v>209</v>
      </c>
      <c r="J370" s="1" t="s">
        <v>125</v>
      </c>
      <c r="K370" s="1" t="s">
        <v>109</v>
      </c>
      <c r="L370" s="1">
        <v>2142025</v>
      </c>
      <c r="M370" s="1" t="s">
        <v>573</v>
      </c>
      <c r="N370" s="5">
        <f t="shared" si="132"/>
        <v>42842</v>
      </c>
      <c r="O370" s="5">
        <f>DATE(2020,1,17)</f>
        <v>43847</v>
      </c>
      <c r="P370" s="5">
        <f t="shared" si="109"/>
        <v>44942</v>
      </c>
      <c r="Q370" s="1">
        <v>2246</v>
      </c>
      <c r="R370" s="1">
        <v>2000</v>
      </c>
      <c r="S370" s="1">
        <f t="shared" si="110"/>
        <v>2000</v>
      </c>
      <c r="T370" s="1">
        <v>1.5</v>
      </c>
      <c r="U370" s="1" t="str">
        <f t="shared" si="111"/>
        <v>NÃO</v>
      </c>
      <c r="V370" s="1">
        <f t="shared" si="112"/>
        <v>1006</v>
      </c>
      <c r="W370" s="4">
        <f t="shared" si="113"/>
        <v>1.9880715705765408</v>
      </c>
      <c r="X370" s="4">
        <f t="shared" si="114"/>
        <v>725.64612326043743</v>
      </c>
      <c r="Y370" s="4">
        <f t="shared" si="115"/>
        <v>0.90705765407554684</v>
      </c>
      <c r="AB370" s="5">
        <f t="shared" si="116"/>
        <v>45292</v>
      </c>
      <c r="AC370" s="5">
        <f t="shared" si="117"/>
        <v>45657</v>
      </c>
      <c r="AD370" s="1">
        <v>1</v>
      </c>
      <c r="AE370" s="1">
        <f t="shared" si="118"/>
        <v>0</v>
      </c>
      <c r="AF370" s="1">
        <f t="shared" si="119"/>
        <v>0</v>
      </c>
      <c r="AG370" s="1">
        <f t="shared" si="120"/>
        <v>0</v>
      </c>
      <c r="AH370" s="1">
        <f t="shared" si="121"/>
        <v>0</v>
      </c>
      <c r="AI370" s="1">
        <f t="shared" si="122"/>
        <v>183</v>
      </c>
      <c r="AJ370" s="3">
        <f t="shared" si="123"/>
        <v>0.5</v>
      </c>
      <c r="AK370" s="3">
        <f t="shared" si="124"/>
        <v>0.45352882703777342</v>
      </c>
      <c r="AL370" s="3">
        <f t="shared" si="125"/>
        <v>0</v>
      </c>
      <c r="AM370" s="3">
        <f t="shared" si="126"/>
        <v>0</v>
      </c>
      <c r="AN370" s="3">
        <f t="shared" si="127"/>
        <v>0</v>
      </c>
      <c r="AO370" s="3">
        <f t="shared" si="128"/>
        <v>0</v>
      </c>
      <c r="AP370" s="1" t="str">
        <f>INDEX({"EAD";"EAD";"EAD";"EAD MOOC";"EAD";"EAD";"EAD FP";"EAD";"PRESENCIAL";"PRESENCIAL";"PRESENCIAL";"PRESENCIAL"}, MATCH(CONCATENATE(E370, ".", F370),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71" spans="1:42" x14ac:dyDescent="0.25">
      <c r="A371" s="1" t="s">
        <v>27</v>
      </c>
      <c r="B371" s="1" t="s">
        <v>43</v>
      </c>
      <c r="C371" s="1" t="s">
        <v>29</v>
      </c>
      <c r="D371" s="1" t="s">
        <v>44</v>
      </c>
      <c r="E371" s="1" t="s">
        <v>120</v>
      </c>
      <c r="F371" s="1" t="s">
        <v>21</v>
      </c>
      <c r="G371" s="1" t="s">
        <v>140</v>
      </c>
      <c r="H371" s="1" t="s">
        <v>500</v>
      </c>
      <c r="I371" s="1" t="s">
        <v>209</v>
      </c>
      <c r="J371" s="1" t="s">
        <v>125</v>
      </c>
      <c r="K371" s="1" t="s">
        <v>109</v>
      </c>
      <c r="L371" s="1">
        <v>2142026</v>
      </c>
      <c r="M371" s="1" t="s">
        <v>565</v>
      </c>
      <c r="N371" s="5">
        <f t="shared" si="132"/>
        <v>42842</v>
      </c>
      <c r="O371" s="5">
        <f>DATE(2020,1,17)</f>
        <v>43847</v>
      </c>
      <c r="P371" s="5">
        <f t="shared" si="109"/>
        <v>44942</v>
      </c>
      <c r="Q371" s="1">
        <v>2324</v>
      </c>
      <c r="R371" s="1">
        <v>2000</v>
      </c>
      <c r="S371" s="1">
        <f t="shared" si="110"/>
        <v>2000</v>
      </c>
      <c r="T371" s="1">
        <v>1</v>
      </c>
      <c r="U371" s="1" t="str">
        <f t="shared" si="111"/>
        <v>NÃO</v>
      </c>
      <c r="V371" s="1">
        <f t="shared" si="112"/>
        <v>1006</v>
      </c>
      <c r="W371" s="4">
        <f t="shared" si="113"/>
        <v>1.9880715705765408</v>
      </c>
      <c r="X371" s="4">
        <f t="shared" si="114"/>
        <v>725.64612326043743</v>
      </c>
      <c r="Y371" s="4">
        <f t="shared" si="115"/>
        <v>0.90705765407554684</v>
      </c>
      <c r="AB371" s="5">
        <f t="shared" si="116"/>
        <v>45292</v>
      </c>
      <c r="AC371" s="5">
        <f t="shared" si="117"/>
        <v>45657</v>
      </c>
      <c r="AD371" s="1">
        <v>22</v>
      </c>
      <c r="AE371" s="1">
        <f t="shared" si="118"/>
        <v>0</v>
      </c>
      <c r="AF371" s="1">
        <f t="shared" si="119"/>
        <v>0</v>
      </c>
      <c r="AG371" s="1">
        <f t="shared" si="120"/>
        <v>0</v>
      </c>
      <c r="AH371" s="1">
        <f t="shared" si="121"/>
        <v>0</v>
      </c>
      <c r="AI371" s="1">
        <f t="shared" si="122"/>
        <v>183</v>
      </c>
      <c r="AJ371" s="3">
        <f t="shared" si="123"/>
        <v>0.5</v>
      </c>
      <c r="AK371" s="3">
        <f t="shared" si="124"/>
        <v>0.45352882703777342</v>
      </c>
      <c r="AL371" s="3">
        <f t="shared" si="125"/>
        <v>0</v>
      </c>
      <c r="AM371" s="3">
        <f t="shared" si="126"/>
        <v>0</v>
      </c>
      <c r="AN371" s="3">
        <f t="shared" si="127"/>
        <v>0</v>
      </c>
      <c r="AO371" s="3">
        <f t="shared" si="128"/>
        <v>0</v>
      </c>
      <c r="AP371" s="1" t="str">
        <f>INDEX({"EAD";"EAD";"EAD";"EAD MOOC";"EAD";"EAD";"EAD FP";"EAD";"PRESENCIAL";"PRESENCIAL";"PRESENCIAL";"PRESENCIAL"}, MATCH(CONCATENATE(E371, ".", F371),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72" spans="1:42" x14ac:dyDescent="0.25">
      <c r="A372" s="1" t="s">
        <v>27</v>
      </c>
      <c r="B372" s="1" t="s">
        <v>43</v>
      </c>
      <c r="C372" s="1" t="s">
        <v>29</v>
      </c>
      <c r="D372" s="1" t="s">
        <v>44</v>
      </c>
      <c r="E372" s="1" t="s">
        <v>120</v>
      </c>
      <c r="F372" s="1" t="s">
        <v>21</v>
      </c>
      <c r="G372" s="1" t="s">
        <v>140</v>
      </c>
      <c r="H372" s="1" t="s">
        <v>502</v>
      </c>
      <c r="I372" s="1" t="s">
        <v>503</v>
      </c>
      <c r="J372" s="1" t="s">
        <v>125</v>
      </c>
      <c r="K372" s="1" t="s">
        <v>109</v>
      </c>
      <c r="L372" s="1">
        <v>2456377</v>
      </c>
      <c r="M372" s="1" t="s">
        <v>574</v>
      </c>
      <c r="N372" s="5">
        <f t="shared" ref="N372:N379" si="133">DATE(2017,10,11)</f>
        <v>43019</v>
      </c>
      <c r="O372" s="5">
        <f>DATE(2020,12,23)</f>
        <v>44188</v>
      </c>
      <c r="P372" s="5">
        <f t="shared" si="109"/>
        <v>45283</v>
      </c>
      <c r="Q372" s="1">
        <v>2406</v>
      </c>
      <c r="R372" s="1">
        <v>2400</v>
      </c>
      <c r="S372" s="1">
        <f t="shared" si="110"/>
        <v>2400</v>
      </c>
      <c r="T372" s="1">
        <v>2.5</v>
      </c>
      <c r="U372" s="1" t="str">
        <f t="shared" si="111"/>
        <v>NÃO</v>
      </c>
      <c r="V372" s="1">
        <f t="shared" si="112"/>
        <v>1170</v>
      </c>
      <c r="W372" s="4">
        <f t="shared" si="113"/>
        <v>2.0512820512820511</v>
      </c>
      <c r="X372" s="4">
        <f t="shared" si="114"/>
        <v>748.71794871794862</v>
      </c>
      <c r="Y372" s="4">
        <f t="shared" si="115"/>
        <v>0.93589743589743579</v>
      </c>
      <c r="AB372" s="5">
        <f t="shared" si="116"/>
        <v>45292</v>
      </c>
      <c r="AC372" s="5">
        <f t="shared" si="117"/>
        <v>45657</v>
      </c>
      <c r="AD372" s="1">
        <v>3</v>
      </c>
      <c r="AE372" s="1">
        <f t="shared" si="118"/>
        <v>0</v>
      </c>
      <c r="AF372" s="1">
        <f t="shared" si="119"/>
        <v>0</v>
      </c>
      <c r="AG372" s="1">
        <f t="shared" si="120"/>
        <v>0</v>
      </c>
      <c r="AH372" s="1">
        <f t="shared" si="121"/>
        <v>0</v>
      </c>
      <c r="AI372" s="1">
        <f t="shared" si="122"/>
        <v>183</v>
      </c>
      <c r="AJ372" s="3">
        <f t="shared" si="123"/>
        <v>0.5</v>
      </c>
      <c r="AK372" s="3">
        <f t="shared" si="124"/>
        <v>0.4679487179487179</v>
      </c>
      <c r="AL372" s="3">
        <f t="shared" si="125"/>
        <v>0</v>
      </c>
      <c r="AM372" s="3">
        <f t="shared" si="126"/>
        <v>0</v>
      </c>
      <c r="AN372" s="3">
        <f t="shared" si="127"/>
        <v>0</v>
      </c>
      <c r="AO372" s="3">
        <f t="shared" si="128"/>
        <v>0</v>
      </c>
      <c r="AP372" s="1" t="str">
        <f>INDEX({"EAD";"EAD";"EAD";"EAD MOOC";"EAD";"EAD";"EAD FP";"EAD";"PRESENCIAL";"PRESENCIAL";"PRESENCIAL";"PRESENCIAL"}, MATCH(CONCATENATE(E372, ".", F372),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73" spans="1:42" x14ac:dyDescent="0.25">
      <c r="A373" s="1" t="s">
        <v>27</v>
      </c>
      <c r="B373" s="1" t="s">
        <v>43</v>
      </c>
      <c r="C373" s="1" t="s">
        <v>29</v>
      </c>
      <c r="D373" s="1" t="s">
        <v>44</v>
      </c>
      <c r="E373" s="1" t="s">
        <v>120</v>
      </c>
      <c r="F373" s="1" t="s">
        <v>21</v>
      </c>
      <c r="G373" s="1" t="s">
        <v>140</v>
      </c>
      <c r="H373" s="1" t="s">
        <v>498</v>
      </c>
      <c r="I373" s="1" t="s">
        <v>289</v>
      </c>
      <c r="J373" s="1" t="s">
        <v>125</v>
      </c>
      <c r="K373" s="1" t="s">
        <v>109</v>
      </c>
      <c r="L373" s="1">
        <v>2456382</v>
      </c>
      <c r="M373" s="1" t="s">
        <v>575</v>
      </c>
      <c r="N373" s="5">
        <f t="shared" si="133"/>
        <v>43019</v>
      </c>
      <c r="O373" s="5">
        <f>DATE(2020,8,15)</f>
        <v>44058</v>
      </c>
      <c r="P373" s="5">
        <f t="shared" si="109"/>
        <v>45153</v>
      </c>
      <c r="Q373" s="1">
        <v>2416</v>
      </c>
      <c r="R373" s="1">
        <v>2400</v>
      </c>
      <c r="S373" s="1">
        <f t="shared" si="110"/>
        <v>2400</v>
      </c>
      <c r="T373" s="1">
        <v>2.5</v>
      </c>
      <c r="U373" s="1" t="str">
        <f t="shared" si="111"/>
        <v>NÃO</v>
      </c>
      <c r="V373" s="1">
        <f t="shared" si="112"/>
        <v>1040</v>
      </c>
      <c r="W373" s="4">
        <f t="shared" si="113"/>
        <v>2.3076923076923075</v>
      </c>
      <c r="X373" s="4">
        <f t="shared" si="114"/>
        <v>842.30769230769226</v>
      </c>
      <c r="Y373" s="4">
        <f t="shared" si="115"/>
        <v>1.0528846153846154</v>
      </c>
      <c r="AB373" s="5">
        <f t="shared" si="116"/>
        <v>45292</v>
      </c>
      <c r="AC373" s="5">
        <f t="shared" si="117"/>
        <v>45657</v>
      </c>
      <c r="AE373" s="1">
        <f t="shared" si="118"/>
        <v>0</v>
      </c>
      <c r="AF373" s="1">
        <f t="shared" si="119"/>
        <v>0</v>
      </c>
      <c r="AG373" s="1">
        <f t="shared" si="120"/>
        <v>0</v>
      </c>
      <c r="AH373" s="1">
        <f t="shared" si="121"/>
        <v>0</v>
      </c>
      <c r="AI373" s="1">
        <f t="shared" si="122"/>
        <v>183</v>
      </c>
      <c r="AJ373" s="3">
        <f t="shared" si="123"/>
        <v>0.5</v>
      </c>
      <c r="AK373" s="3">
        <f t="shared" si="124"/>
        <v>0.52644230769230771</v>
      </c>
      <c r="AL373" s="3">
        <f t="shared" si="125"/>
        <v>0</v>
      </c>
      <c r="AM373" s="3">
        <f t="shared" si="126"/>
        <v>0</v>
      </c>
      <c r="AN373" s="3">
        <f t="shared" si="127"/>
        <v>0</v>
      </c>
      <c r="AO373" s="3">
        <f t="shared" si="128"/>
        <v>0</v>
      </c>
      <c r="AP373" s="1" t="str">
        <f>INDEX({"EAD";"EAD";"EAD";"EAD MOOC";"EAD";"EAD";"EAD FP";"EAD";"PRESENCIAL";"PRESENCIAL";"PRESENCIAL";"PRESENCIAL"}, MATCH(CONCATENATE(E373, ".", F373),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74" spans="1:42" x14ac:dyDescent="0.25">
      <c r="A374" s="1" t="s">
        <v>27</v>
      </c>
      <c r="B374" s="1" t="s">
        <v>43</v>
      </c>
      <c r="C374" s="1" t="s">
        <v>29</v>
      </c>
      <c r="D374" s="1" t="s">
        <v>44</v>
      </c>
      <c r="E374" s="1" t="s">
        <v>120</v>
      </c>
      <c r="F374" s="1" t="s">
        <v>21</v>
      </c>
      <c r="G374" s="1" t="s">
        <v>140</v>
      </c>
      <c r="H374" s="1" t="s">
        <v>529</v>
      </c>
      <c r="I374" s="1" t="s">
        <v>289</v>
      </c>
      <c r="J374" s="1" t="s">
        <v>125</v>
      </c>
      <c r="K374" s="1" t="s">
        <v>109</v>
      </c>
      <c r="L374" s="1">
        <v>2456388</v>
      </c>
      <c r="M374" s="1" t="s">
        <v>576</v>
      </c>
      <c r="N374" s="5">
        <f t="shared" si="133"/>
        <v>43019</v>
      </c>
      <c r="O374" s="5">
        <f>DATE(2020,12,23)</f>
        <v>44188</v>
      </c>
      <c r="P374" s="5">
        <f t="shared" si="109"/>
        <v>45283</v>
      </c>
      <c r="Q374" s="1">
        <v>2509</v>
      </c>
      <c r="R374" s="1">
        <v>2400</v>
      </c>
      <c r="S374" s="1">
        <f t="shared" si="110"/>
        <v>2400</v>
      </c>
      <c r="T374" s="1">
        <v>2.5</v>
      </c>
      <c r="U374" s="1" t="str">
        <f t="shared" si="111"/>
        <v>NÃO</v>
      </c>
      <c r="V374" s="1">
        <f t="shared" si="112"/>
        <v>1170</v>
      </c>
      <c r="W374" s="4">
        <f t="shared" si="113"/>
        <v>2.0512820512820511</v>
      </c>
      <c r="X374" s="4">
        <f t="shared" si="114"/>
        <v>748.71794871794862</v>
      </c>
      <c r="Y374" s="4">
        <f t="shared" si="115"/>
        <v>0.93589743589743579</v>
      </c>
      <c r="AB374" s="5">
        <f t="shared" si="116"/>
        <v>45292</v>
      </c>
      <c r="AC374" s="5">
        <f t="shared" si="117"/>
        <v>45657</v>
      </c>
      <c r="AE374" s="1">
        <f t="shared" si="118"/>
        <v>0</v>
      </c>
      <c r="AF374" s="1">
        <f t="shared" si="119"/>
        <v>0</v>
      </c>
      <c r="AG374" s="1">
        <f t="shared" si="120"/>
        <v>0</v>
      </c>
      <c r="AH374" s="1">
        <f t="shared" si="121"/>
        <v>0</v>
      </c>
      <c r="AI374" s="1">
        <f t="shared" si="122"/>
        <v>183</v>
      </c>
      <c r="AJ374" s="3">
        <f t="shared" si="123"/>
        <v>0.5</v>
      </c>
      <c r="AK374" s="3">
        <f t="shared" si="124"/>
        <v>0.4679487179487179</v>
      </c>
      <c r="AL374" s="3">
        <f t="shared" si="125"/>
        <v>0</v>
      </c>
      <c r="AM374" s="3">
        <f t="shared" si="126"/>
        <v>0</v>
      </c>
      <c r="AN374" s="3">
        <f t="shared" si="127"/>
        <v>0</v>
      </c>
      <c r="AO374" s="3">
        <f t="shared" si="128"/>
        <v>0</v>
      </c>
      <c r="AP374" s="1" t="str">
        <f>INDEX({"EAD";"EAD";"EAD";"EAD MOOC";"EAD";"EAD";"EAD FP";"EAD";"PRESENCIAL";"PRESENCIAL";"PRESENCIAL";"PRESENCIAL"}, MATCH(CONCATENATE(E374, ".", F374),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75" spans="1:42" x14ac:dyDescent="0.25">
      <c r="A375" s="1" t="s">
        <v>27</v>
      </c>
      <c r="B375" s="1" t="s">
        <v>43</v>
      </c>
      <c r="C375" s="1" t="s">
        <v>29</v>
      </c>
      <c r="D375" s="1" t="s">
        <v>44</v>
      </c>
      <c r="E375" s="1" t="s">
        <v>120</v>
      </c>
      <c r="F375" s="1" t="s">
        <v>21</v>
      </c>
      <c r="G375" s="1" t="s">
        <v>121</v>
      </c>
      <c r="H375" s="1" t="s">
        <v>508</v>
      </c>
      <c r="I375" s="1" t="s">
        <v>503</v>
      </c>
      <c r="J375" s="1" t="s">
        <v>125</v>
      </c>
      <c r="K375" s="1" t="s">
        <v>109</v>
      </c>
      <c r="L375" s="1">
        <v>2456393</v>
      </c>
      <c r="M375" s="1" t="s">
        <v>577</v>
      </c>
      <c r="N375" s="5">
        <f t="shared" si="133"/>
        <v>43019</v>
      </c>
      <c r="O375" s="5">
        <f>DATE(2022,2,13)</f>
        <v>44605</v>
      </c>
      <c r="P375" s="5">
        <f t="shared" si="109"/>
        <v>45700</v>
      </c>
      <c r="Q375" s="1">
        <v>4430</v>
      </c>
      <c r="R375" s="1">
        <v>3600</v>
      </c>
      <c r="S375" s="1">
        <f t="shared" si="110"/>
        <v>3600</v>
      </c>
      <c r="T375" s="1">
        <v>2.5</v>
      </c>
      <c r="U375" s="1" t="str">
        <f t="shared" si="111"/>
        <v>SIM</v>
      </c>
      <c r="V375" s="1">
        <f t="shared" si="112"/>
        <v>1587</v>
      </c>
      <c r="W375" s="4">
        <f t="shared" si="113"/>
        <v>2.2684310018903591</v>
      </c>
      <c r="X375" s="4">
        <f t="shared" si="114"/>
        <v>827.97731568998108</v>
      </c>
      <c r="Y375" s="4">
        <f t="shared" si="115"/>
        <v>1.0349716446124764</v>
      </c>
      <c r="AB375" s="5">
        <f t="shared" si="116"/>
        <v>45292</v>
      </c>
      <c r="AC375" s="5">
        <f t="shared" si="117"/>
        <v>45657</v>
      </c>
      <c r="AD375" s="1">
        <v>7</v>
      </c>
      <c r="AE375" s="1">
        <f t="shared" si="118"/>
        <v>0</v>
      </c>
      <c r="AF375" s="1">
        <f t="shared" si="119"/>
        <v>0</v>
      </c>
      <c r="AG375" s="1">
        <f t="shared" si="120"/>
        <v>0</v>
      </c>
      <c r="AH375" s="1">
        <f t="shared" si="121"/>
        <v>0</v>
      </c>
      <c r="AI375" s="1">
        <f t="shared" si="122"/>
        <v>183</v>
      </c>
      <c r="AJ375" s="3">
        <f t="shared" si="123"/>
        <v>0.5</v>
      </c>
      <c r="AK375" s="3">
        <f t="shared" si="124"/>
        <v>0.51748582230623819</v>
      </c>
      <c r="AL375" s="3">
        <f t="shared" si="125"/>
        <v>1.8112003780718338</v>
      </c>
      <c r="AM375" s="3">
        <f t="shared" si="126"/>
        <v>4.5280009451795848</v>
      </c>
      <c r="AN375" s="3">
        <f t="shared" si="127"/>
        <v>0</v>
      </c>
      <c r="AO375" s="3">
        <f t="shared" si="128"/>
        <v>4.5280009451795848</v>
      </c>
      <c r="AP375" s="1" t="str">
        <f>INDEX({"EAD";"EAD";"EAD";"EAD MOOC";"EAD";"EAD";"EAD FP";"EAD";"PRESENCIAL";"PRESENCIAL";"PRESENCIAL";"PRESENCIAL"}, MATCH(CONCATENATE(E375, ".", F375),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76" spans="1:42" x14ac:dyDescent="0.25">
      <c r="A376" s="1" t="s">
        <v>27</v>
      </c>
      <c r="B376" s="1" t="s">
        <v>43</v>
      </c>
      <c r="C376" s="1" t="s">
        <v>29</v>
      </c>
      <c r="D376" s="1" t="s">
        <v>44</v>
      </c>
      <c r="E376" s="1" t="s">
        <v>120</v>
      </c>
      <c r="F376" s="1" t="s">
        <v>21</v>
      </c>
      <c r="G376" s="1" t="s">
        <v>121</v>
      </c>
      <c r="H376" s="1" t="s">
        <v>495</v>
      </c>
      <c r="I376" s="1" t="s">
        <v>124</v>
      </c>
      <c r="J376" s="1" t="s">
        <v>125</v>
      </c>
      <c r="K376" s="1" t="s">
        <v>109</v>
      </c>
      <c r="L376" s="1">
        <v>2456396</v>
      </c>
      <c r="M376" s="1" t="s">
        <v>578</v>
      </c>
      <c r="N376" s="5">
        <f t="shared" si="133"/>
        <v>43019</v>
      </c>
      <c r="O376" s="5">
        <f>DATE(2020,8,15)</f>
        <v>44058</v>
      </c>
      <c r="P376" s="5">
        <f t="shared" si="109"/>
        <v>45153</v>
      </c>
      <c r="Q376" s="1">
        <v>2587</v>
      </c>
      <c r="R376" s="1">
        <v>2400</v>
      </c>
      <c r="S376" s="1">
        <f t="shared" si="110"/>
        <v>2400</v>
      </c>
      <c r="T376" s="1">
        <v>1</v>
      </c>
      <c r="U376" s="1" t="str">
        <f t="shared" si="111"/>
        <v>NÃO</v>
      </c>
      <c r="V376" s="1">
        <f t="shared" si="112"/>
        <v>1040</v>
      </c>
      <c r="W376" s="4">
        <f t="shared" si="113"/>
        <v>2.3076923076923075</v>
      </c>
      <c r="X376" s="4">
        <f t="shared" si="114"/>
        <v>842.30769230769226</v>
      </c>
      <c r="Y376" s="4">
        <f t="shared" si="115"/>
        <v>1.0528846153846154</v>
      </c>
      <c r="AB376" s="5">
        <f t="shared" si="116"/>
        <v>45292</v>
      </c>
      <c r="AC376" s="5">
        <f t="shared" si="117"/>
        <v>45657</v>
      </c>
      <c r="AD376" s="1">
        <v>2</v>
      </c>
      <c r="AE376" s="1">
        <f t="shared" si="118"/>
        <v>0</v>
      </c>
      <c r="AF376" s="1">
        <f t="shared" si="119"/>
        <v>0</v>
      </c>
      <c r="AG376" s="1">
        <f t="shared" si="120"/>
        <v>0</v>
      </c>
      <c r="AH376" s="1">
        <f t="shared" si="121"/>
        <v>0</v>
      </c>
      <c r="AI376" s="1">
        <f t="shared" si="122"/>
        <v>183</v>
      </c>
      <c r="AJ376" s="3">
        <f t="shared" si="123"/>
        <v>0.5</v>
      </c>
      <c r="AK376" s="3">
        <f t="shared" si="124"/>
        <v>0.52644230769230771</v>
      </c>
      <c r="AL376" s="3">
        <f t="shared" si="125"/>
        <v>0</v>
      </c>
      <c r="AM376" s="3">
        <f t="shared" si="126"/>
        <v>0</v>
      </c>
      <c r="AN376" s="3">
        <f t="shared" si="127"/>
        <v>0</v>
      </c>
      <c r="AO376" s="3">
        <f t="shared" si="128"/>
        <v>0</v>
      </c>
      <c r="AP376" s="1" t="str">
        <f>INDEX({"EAD";"EAD";"EAD";"EAD MOOC";"EAD";"EAD";"EAD FP";"EAD";"PRESENCIAL";"PRESENCIAL";"PRESENCIAL";"PRESENCIAL"}, MATCH(CONCATENATE(E376, ".", F376),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77" spans="1:42" x14ac:dyDescent="0.25">
      <c r="A377" s="1" t="s">
        <v>27</v>
      </c>
      <c r="B377" s="1" t="s">
        <v>43</v>
      </c>
      <c r="C377" s="1" t="s">
        <v>29</v>
      </c>
      <c r="D377" s="1" t="s">
        <v>44</v>
      </c>
      <c r="E377" s="1" t="s">
        <v>120</v>
      </c>
      <c r="F377" s="1" t="s">
        <v>21</v>
      </c>
      <c r="G377" s="1" t="s">
        <v>121</v>
      </c>
      <c r="H377" s="1" t="s">
        <v>537</v>
      </c>
      <c r="I377" s="1" t="s">
        <v>187</v>
      </c>
      <c r="J377" s="1" t="s">
        <v>125</v>
      </c>
      <c r="K377" s="1" t="s">
        <v>109</v>
      </c>
      <c r="L377" s="1">
        <v>2456398</v>
      </c>
      <c r="M377" s="1" t="s">
        <v>579</v>
      </c>
      <c r="N377" s="5">
        <f t="shared" si="133"/>
        <v>43019</v>
      </c>
      <c r="O377" s="5">
        <f>DATE(2020,8,15)</f>
        <v>44058</v>
      </c>
      <c r="P377" s="5">
        <f t="shared" si="109"/>
        <v>45153</v>
      </c>
      <c r="Q377" s="1">
        <v>2600</v>
      </c>
      <c r="R377" s="1">
        <v>2400</v>
      </c>
      <c r="S377" s="1">
        <f t="shared" si="110"/>
        <v>2400</v>
      </c>
      <c r="T377" s="1">
        <v>1</v>
      </c>
      <c r="U377" s="1" t="str">
        <f t="shared" si="111"/>
        <v>NÃO</v>
      </c>
      <c r="V377" s="1">
        <f t="shared" si="112"/>
        <v>1040</v>
      </c>
      <c r="W377" s="4">
        <f t="shared" si="113"/>
        <v>2.3076923076923075</v>
      </c>
      <c r="X377" s="4">
        <f t="shared" si="114"/>
        <v>842.30769230769226</v>
      </c>
      <c r="Y377" s="4">
        <f t="shared" si="115"/>
        <v>1.0528846153846154</v>
      </c>
      <c r="AB377" s="5">
        <f t="shared" si="116"/>
        <v>45292</v>
      </c>
      <c r="AC377" s="5">
        <f t="shared" si="117"/>
        <v>45657</v>
      </c>
      <c r="AD377" s="1">
        <v>1</v>
      </c>
      <c r="AE377" s="1">
        <f t="shared" si="118"/>
        <v>0</v>
      </c>
      <c r="AF377" s="1">
        <f t="shared" si="119"/>
        <v>0</v>
      </c>
      <c r="AG377" s="1">
        <f t="shared" si="120"/>
        <v>0</v>
      </c>
      <c r="AH377" s="1">
        <f t="shared" si="121"/>
        <v>0</v>
      </c>
      <c r="AI377" s="1">
        <f t="shared" si="122"/>
        <v>183</v>
      </c>
      <c r="AJ377" s="3">
        <f t="shared" si="123"/>
        <v>0.5</v>
      </c>
      <c r="AK377" s="3">
        <f t="shared" si="124"/>
        <v>0.52644230769230771</v>
      </c>
      <c r="AL377" s="3">
        <f t="shared" si="125"/>
        <v>0</v>
      </c>
      <c r="AM377" s="3">
        <f t="shared" si="126"/>
        <v>0</v>
      </c>
      <c r="AN377" s="3">
        <f t="shared" si="127"/>
        <v>0</v>
      </c>
      <c r="AO377" s="3">
        <f t="shared" si="128"/>
        <v>0</v>
      </c>
      <c r="AP377" s="1" t="str">
        <f>INDEX({"EAD";"EAD";"EAD";"EAD MOOC";"EAD";"EAD";"EAD FP";"EAD";"PRESENCIAL";"PRESENCIAL";"PRESENCIAL";"PRESENCIAL"}, MATCH(CONCATENATE(E377, ".", F377),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78" spans="1:42" x14ac:dyDescent="0.25">
      <c r="A378" s="1" t="s">
        <v>27</v>
      </c>
      <c r="B378" s="1" t="s">
        <v>43</v>
      </c>
      <c r="C378" s="1" t="s">
        <v>29</v>
      </c>
      <c r="D378" s="1" t="s">
        <v>44</v>
      </c>
      <c r="E378" s="1" t="s">
        <v>120</v>
      </c>
      <c r="F378" s="1" t="s">
        <v>21</v>
      </c>
      <c r="G378" s="1" t="s">
        <v>128</v>
      </c>
      <c r="H378" s="1" t="s">
        <v>559</v>
      </c>
      <c r="I378" s="1" t="s">
        <v>289</v>
      </c>
      <c r="J378" s="1" t="s">
        <v>125</v>
      </c>
      <c r="K378" s="1" t="s">
        <v>163</v>
      </c>
      <c r="L378" s="1">
        <v>2456435</v>
      </c>
      <c r="M378" s="1" t="s">
        <v>580</v>
      </c>
      <c r="N378" s="5">
        <f t="shared" si="133"/>
        <v>43019</v>
      </c>
      <c r="O378" s="5">
        <f>DATE(2019,8,17)</f>
        <v>43694</v>
      </c>
      <c r="P378" s="5">
        <f t="shared" si="109"/>
        <v>44789</v>
      </c>
      <c r="Q378" s="1">
        <v>1294</v>
      </c>
      <c r="R378" s="1">
        <v>1200</v>
      </c>
      <c r="S378" s="1">
        <f t="shared" si="110"/>
        <v>1200</v>
      </c>
      <c r="T378" s="1">
        <v>2.5</v>
      </c>
      <c r="U378" s="1" t="str">
        <f t="shared" si="111"/>
        <v>NÃO</v>
      </c>
      <c r="V378" s="1">
        <f t="shared" si="112"/>
        <v>676</v>
      </c>
      <c r="W378" s="4">
        <f t="shared" si="113"/>
        <v>1.7751479289940828</v>
      </c>
      <c r="X378" s="4">
        <f t="shared" si="114"/>
        <v>647.92899408284018</v>
      </c>
      <c r="Y378" s="4">
        <f t="shared" si="115"/>
        <v>0.80991124260355019</v>
      </c>
      <c r="AB378" s="5">
        <f t="shared" si="116"/>
        <v>45292</v>
      </c>
      <c r="AC378" s="5">
        <f t="shared" si="117"/>
        <v>45657</v>
      </c>
      <c r="AE378" s="1">
        <f t="shared" si="118"/>
        <v>0</v>
      </c>
      <c r="AF378" s="1">
        <f t="shared" si="119"/>
        <v>0</v>
      </c>
      <c r="AG378" s="1">
        <f t="shared" si="120"/>
        <v>0</v>
      </c>
      <c r="AH378" s="1">
        <f t="shared" si="121"/>
        <v>0</v>
      </c>
      <c r="AI378" s="1">
        <f t="shared" si="122"/>
        <v>183</v>
      </c>
      <c r="AJ378" s="3">
        <f t="shared" si="123"/>
        <v>0.5</v>
      </c>
      <c r="AK378" s="3">
        <f t="shared" si="124"/>
        <v>0.40495562130177509</v>
      </c>
      <c r="AL378" s="3">
        <f t="shared" si="125"/>
        <v>0</v>
      </c>
      <c r="AM378" s="3">
        <f t="shared" si="126"/>
        <v>0</v>
      </c>
      <c r="AN378" s="3">
        <f t="shared" si="127"/>
        <v>0</v>
      </c>
      <c r="AO378" s="3">
        <f t="shared" si="128"/>
        <v>0</v>
      </c>
      <c r="AP378" s="1" t="str">
        <f>INDEX({"EAD";"EAD";"EAD";"EAD MOOC";"EAD";"EAD";"EAD FP";"EAD";"PRESENCIAL";"PRESENCIAL";"PRESENCIAL";"PRESENCIAL"}, MATCH(CONCATENATE(E378, ".", F378),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79" spans="1:42" x14ac:dyDescent="0.25">
      <c r="A379" s="1" t="s">
        <v>27</v>
      </c>
      <c r="B379" s="1" t="s">
        <v>43</v>
      </c>
      <c r="C379" s="1" t="s">
        <v>29</v>
      </c>
      <c r="D379" s="1" t="s">
        <v>44</v>
      </c>
      <c r="E379" s="1" t="s">
        <v>120</v>
      </c>
      <c r="F379" s="1" t="s">
        <v>21</v>
      </c>
      <c r="G379" s="1" t="s">
        <v>128</v>
      </c>
      <c r="H379" s="1" t="s">
        <v>526</v>
      </c>
      <c r="I379" s="1" t="s">
        <v>503</v>
      </c>
      <c r="J379" s="1" t="s">
        <v>125</v>
      </c>
      <c r="K379" s="1" t="s">
        <v>163</v>
      </c>
      <c r="L379" s="1">
        <v>2456440</v>
      </c>
      <c r="M379" s="1" t="s">
        <v>581</v>
      </c>
      <c r="N379" s="5">
        <f t="shared" si="133"/>
        <v>43019</v>
      </c>
      <c r="O379" s="5">
        <f>DATE(2019,8,17)</f>
        <v>43694</v>
      </c>
      <c r="P379" s="5">
        <f t="shared" si="109"/>
        <v>44789</v>
      </c>
      <c r="Q379" s="1">
        <v>1707</v>
      </c>
      <c r="R379" s="1">
        <v>1200</v>
      </c>
      <c r="S379" s="1">
        <f t="shared" si="110"/>
        <v>1200</v>
      </c>
      <c r="T379" s="1">
        <v>2.5</v>
      </c>
      <c r="U379" s="1" t="str">
        <f t="shared" si="111"/>
        <v>NÃO</v>
      </c>
      <c r="V379" s="1">
        <f t="shared" si="112"/>
        <v>676</v>
      </c>
      <c r="W379" s="4">
        <f t="shared" si="113"/>
        <v>1.7751479289940828</v>
      </c>
      <c r="X379" s="4">
        <f t="shared" si="114"/>
        <v>647.92899408284018</v>
      </c>
      <c r="Y379" s="4">
        <f t="shared" si="115"/>
        <v>0.80991124260355019</v>
      </c>
      <c r="AB379" s="5">
        <f t="shared" si="116"/>
        <v>45292</v>
      </c>
      <c r="AC379" s="5">
        <f t="shared" si="117"/>
        <v>45657</v>
      </c>
      <c r="AE379" s="1">
        <f t="shared" si="118"/>
        <v>0</v>
      </c>
      <c r="AF379" s="1">
        <f t="shared" si="119"/>
        <v>0</v>
      </c>
      <c r="AG379" s="1">
        <f t="shared" si="120"/>
        <v>0</v>
      </c>
      <c r="AH379" s="1">
        <f t="shared" si="121"/>
        <v>0</v>
      </c>
      <c r="AI379" s="1">
        <f t="shared" si="122"/>
        <v>183</v>
      </c>
      <c r="AJ379" s="3">
        <f t="shared" si="123"/>
        <v>0.5</v>
      </c>
      <c r="AK379" s="3">
        <f t="shared" si="124"/>
        <v>0.40495562130177509</v>
      </c>
      <c r="AL379" s="3">
        <f t="shared" si="125"/>
        <v>0</v>
      </c>
      <c r="AM379" s="3">
        <f t="shared" si="126"/>
        <v>0</v>
      </c>
      <c r="AN379" s="3">
        <f t="shared" si="127"/>
        <v>0</v>
      </c>
      <c r="AO379" s="3">
        <f t="shared" si="128"/>
        <v>0</v>
      </c>
      <c r="AP379" s="1" t="str">
        <f>INDEX({"EAD";"EAD";"EAD";"EAD MOOC";"EAD";"EAD";"EAD FP";"EAD";"PRESENCIAL";"PRESENCIAL";"PRESENCIAL";"PRESENCIAL"}, MATCH(CONCATENATE(E379, ".", F379),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80" spans="1:42" x14ac:dyDescent="0.25">
      <c r="A380" s="1" t="s">
        <v>27</v>
      </c>
      <c r="B380" s="1" t="s">
        <v>43</v>
      </c>
      <c r="C380" s="1" t="s">
        <v>29</v>
      </c>
      <c r="D380" s="1" t="s">
        <v>44</v>
      </c>
      <c r="E380" s="1" t="s">
        <v>120</v>
      </c>
      <c r="F380" s="1" t="s">
        <v>21</v>
      </c>
      <c r="G380" s="1" t="s">
        <v>128</v>
      </c>
      <c r="H380" s="1" t="s">
        <v>582</v>
      </c>
      <c r="I380" s="1" t="s">
        <v>289</v>
      </c>
      <c r="J380" s="1" t="s">
        <v>125</v>
      </c>
      <c r="K380" s="1" t="s">
        <v>130</v>
      </c>
      <c r="L380" s="1">
        <v>2480263</v>
      </c>
      <c r="M380" s="1" t="s">
        <v>583</v>
      </c>
      <c r="N380" s="5">
        <f t="shared" ref="N380:N392" si="134">DATE(2018,3,19)</f>
        <v>43178</v>
      </c>
      <c r="O380" s="5">
        <f>DATE(2021,12,23)</f>
        <v>44553</v>
      </c>
      <c r="P380" s="5">
        <f t="shared" si="109"/>
        <v>45648</v>
      </c>
      <c r="Q380" s="1">
        <v>3792</v>
      </c>
      <c r="R380" s="1">
        <v>1200</v>
      </c>
      <c r="S380" s="1">
        <f t="shared" si="110"/>
        <v>3200</v>
      </c>
      <c r="T380" s="1">
        <v>2.5</v>
      </c>
      <c r="U380" s="1" t="str">
        <f t="shared" si="111"/>
        <v>SIM</v>
      </c>
      <c r="V380" s="1">
        <f t="shared" si="112"/>
        <v>1376</v>
      </c>
      <c r="W380" s="4">
        <f t="shared" si="113"/>
        <v>2.3255813953488373</v>
      </c>
      <c r="X380" s="4">
        <f t="shared" si="114"/>
        <v>848.83720930232562</v>
      </c>
      <c r="Y380" s="4">
        <f t="shared" si="115"/>
        <v>1.0610465116279071</v>
      </c>
      <c r="AB380" s="5">
        <f t="shared" si="116"/>
        <v>45292</v>
      </c>
      <c r="AC380" s="5">
        <f t="shared" si="117"/>
        <v>45657</v>
      </c>
      <c r="AD380" s="1">
        <v>1</v>
      </c>
      <c r="AE380" s="1">
        <f t="shared" si="118"/>
        <v>0</v>
      </c>
      <c r="AF380" s="1">
        <f t="shared" si="119"/>
        <v>0</v>
      </c>
      <c r="AG380" s="1">
        <f t="shared" si="120"/>
        <v>0</v>
      </c>
      <c r="AH380" s="1">
        <f t="shared" si="121"/>
        <v>0</v>
      </c>
      <c r="AI380" s="1">
        <f t="shared" si="122"/>
        <v>183</v>
      </c>
      <c r="AJ380" s="3">
        <f t="shared" si="123"/>
        <v>0.5</v>
      </c>
      <c r="AK380" s="3">
        <f t="shared" si="124"/>
        <v>0.53052325581395354</v>
      </c>
      <c r="AL380" s="3">
        <f t="shared" si="125"/>
        <v>0.26526162790697677</v>
      </c>
      <c r="AM380" s="3">
        <f t="shared" si="126"/>
        <v>0.66315406976744196</v>
      </c>
      <c r="AN380" s="3">
        <f t="shared" si="127"/>
        <v>0</v>
      </c>
      <c r="AO380" s="3">
        <f t="shared" si="128"/>
        <v>0.66315406976744196</v>
      </c>
      <c r="AP380" s="1" t="str">
        <f>INDEX({"EAD";"EAD";"EAD";"EAD MOOC";"EAD";"EAD";"EAD FP";"EAD";"PRESENCIAL";"PRESENCIAL";"PRESENCIAL";"PRESENCIAL"}, MATCH(CONCATENATE(E380, ".", F380),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81" spans="1:42" x14ac:dyDescent="0.25">
      <c r="A381" s="1" t="s">
        <v>27</v>
      </c>
      <c r="B381" s="1" t="s">
        <v>43</v>
      </c>
      <c r="C381" s="1" t="s">
        <v>29</v>
      </c>
      <c r="D381" s="1" t="s">
        <v>44</v>
      </c>
      <c r="E381" s="1" t="s">
        <v>120</v>
      </c>
      <c r="F381" s="1" t="s">
        <v>21</v>
      </c>
      <c r="G381" s="1" t="s">
        <v>128</v>
      </c>
      <c r="H381" s="1" t="s">
        <v>559</v>
      </c>
      <c r="I381" s="1" t="s">
        <v>289</v>
      </c>
      <c r="J381" s="1" t="s">
        <v>125</v>
      </c>
      <c r="K381" s="1" t="s">
        <v>130</v>
      </c>
      <c r="L381" s="1">
        <v>2480265</v>
      </c>
      <c r="M381" s="1" t="s">
        <v>584</v>
      </c>
      <c r="N381" s="5">
        <f t="shared" si="134"/>
        <v>43178</v>
      </c>
      <c r="O381" s="5">
        <f>DATE(2021,12,23)</f>
        <v>44553</v>
      </c>
      <c r="P381" s="5">
        <f t="shared" si="109"/>
        <v>45648</v>
      </c>
      <c r="Q381" s="1">
        <v>3792</v>
      </c>
      <c r="R381" s="1">
        <v>1200</v>
      </c>
      <c r="S381" s="1">
        <f t="shared" si="110"/>
        <v>3200</v>
      </c>
      <c r="T381" s="1">
        <v>2.5</v>
      </c>
      <c r="U381" s="1" t="str">
        <f t="shared" si="111"/>
        <v>SIM</v>
      </c>
      <c r="V381" s="1">
        <f t="shared" si="112"/>
        <v>1376</v>
      </c>
      <c r="W381" s="4">
        <f t="shared" si="113"/>
        <v>2.3255813953488373</v>
      </c>
      <c r="X381" s="4">
        <f t="shared" si="114"/>
        <v>848.83720930232562</v>
      </c>
      <c r="Y381" s="4">
        <f t="shared" si="115"/>
        <v>1.0610465116279071</v>
      </c>
      <c r="AB381" s="5">
        <f t="shared" si="116"/>
        <v>45292</v>
      </c>
      <c r="AC381" s="5">
        <f t="shared" si="117"/>
        <v>45657</v>
      </c>
      <c r="AD381" s="1">
        <v>4</v>
      </c>
      <c r="AE381" s="1">
        <f t="shared" si="118"/>
        <v>0</v>
      </c>
      <c r="AF381" s="1">
        <f t="shared" si="119"/>
        <v>0</v>
      </c>
      <c r="AG381" s="1">
        <f t="shared" si="120"/>
        <v>0</v>
      </c>
      <c r="AH381" s="1">
        <f t="shared" si="121"/>
        <v>0</v>
      </c>
      <c r="AI381" s="1">
        <f t="shared" si="122"/>
        <v>183</v>
      </c>
      <c r="AJ381" s="3">
        <f t="shared" si="123"/>
        <v>0.5</v>
      </c>
      <c r="AK381" s="3">
        <f t="shared" si="124"/>
        <v>0.53052325581395354</v>
      </c>
      <c r="AL381" s="3">
        <f t="shared" si="125"/>
        <v>1.0610465116279071</v>
      </c>
      <c r="AM381" s="3">
        <f t="shared" si="126"/>
        <v>2.6526162790697678</v>
      </c>
      <c r="AN381" s="3">
        <f t="shared" si="127"/>
        <v>0</v>
      </c>
      <c r="AO381" s="3">
        <f t="shared" si="128"/>
        <v>2.6526162790697678</v>
      </c>
      <c r="AP381" s="1" t="str">
        <f>INDEX({"EAD";"EAD";"EAD";"EAD MOOC";"EAD";"EAD";"EAD FP";"EAD";"PRESENCIAL";"PRESENCIAL";"PRESENCIAL";"PRESENCIAL"}, MATCH(CONCATENATE(E381, ".", F381),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82" spans="1:42" x14ac:dyDescent="0.25">
      <c r="A382" s="1" t="s">
        <v>27</v>
      </c>
      <c r="B382" s="1" t="s">
        <v>43</v>
      </c>
      <c r="C382" s="1" t="s">
        <v>29</v>
      </c>
      <c r="D382" s="1" t="s">
        <v>44</v>
      </c>
      <c r="E382" s="1" t="s">
        <v>120</v>
      </c>
      <c r="F382" s="1" t="s">
        <v>21</v>
      </c>
      <c r="G382" s="1" t="s">
        <v>128</v>
      </c>
      <c r="H382" s="1" t="s">
        <v>582</v>
      </c>
      <c r="I382" s="1" t="s">
        <v>289</v>
      </c>
      <c r="J382" s="1" t="s">
        <v>125</v>
      </c>
      <c r="K382" s="1" t="s">
        <v>163</v>
      </c>
      <c r="L382" s="1">
        <v>2480291</v>
      </c>
      <c r="M382" s="1" t="s">
        <v>585</v>
      </c>
      <c r="N382" s="5">
        <f t="shared" si="134"/>
        <v>43178</v>
      </c>
      <c r="O382" s="5">
        <f>DATE(2019,12,23)</f>
        <v>43822</v>
      </c>
      <c r="P382" s="5">
        <f t="shared" si="109"/>
        <v>44917</v>
      </c>
      <c r="Q382" s="1">
        <v>1258</v>
      </c>
      <c r="R382" s="1">
        <v>1200</v>
      </c>
      <c r="S382" s="1">
        <f t="shared" si="110"/>
        <v>1200</v>
      </c>
      <c r="T382" s="1">
        <v>2.5</v>
      </c>
      <c r="U382" s="1" t="str">
        <f t="shared" si="111"/>
        <v>NÃO</v>
      </c>
      <c r="V382" s="1">
        <f t="shared" si="112"/>
        <v>645</v>
      </c>
      <c r="W382" s="4">
        <f t="shared" si="113"/>
        <v>1.8604651162790697</v>
      </c>
      <c r="X382" s="4">
        <f t="shared" si="114"/>
        <v>679.06976744186045</v>
      </c>
      <c r="Y382" s="4">
        <f t="shared" si="115"/>
        <v>0.84883720930232553</v>
      </c>
      <c r="AB382" s="5">
        <f t="shared" si="116"/>
        <v>45292</v>
      </c>
      <c r="AC382" s="5">
        <f t="shared" si="117"/>
        <v>45657</v>
      </c>
      <c r="AE382" s="1">
        <f t="shared" si="118"/>
        <v>0</v>
      </c>
      <c r="AF382" s="1">
        <f t="shared" si="119"/>
        <v>0</v>
      </c>
      <c r="AG382" s="1">
        <f t="shared" si="120"/>
        <v>0</v>
      </c>
      <c r="AH382" s="1">
        <f t="shared" si="121"/>
        <v>0</v>
      </c>
      <c r="AI382" s="1">
        <f t="shared" si="122"/>
        <v>183</v>
      </c>
      <c r="AJ382" s="3">
        <f t="shared" si="123"/>
        <v>0.5</v>
      </c>
      <c r="AK382" s="3">
        <f t="shared" si="124"/>
        <v>0.42441860465116277</v>
      </c>
      <c r="AL382" s="3">
        <f t="shared" si="125"/>
        <v>0</v>
      </c>
      <c r="AM382" s="3">
        <f t="shared" si="126"/>
        <v>0</v>
      </c>
      <c r="AN382" s="3">
        <f t="shared" si="127"/>
        <v>0</v>
      </c>
      <c r="AO382" s="3">
        <f t="shared" si="128"/>
        <v>0</v>
      </c>
      <c r="AP382" s="1" t="str">
        <f>INDEX({"EAD";"EAD";"EAD";"EAD MOOC";"EAD";"EAD";"EAD FP";"EAD";"PRESENCIAL";"PRESENCIAL";"PRESENCIAL";"PRESENCIAL"}, MATCH(CONCATENATE(E382, ".", F382),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83" spans="1:42" x14ac:dyDescent="0.25">
      <c r="A383" s="1" t="s">
        <v>27</v>
      </c>
      <c r="B383" s="1" t="s">
        <v>43</v>
      </c>
      <c r="C383" s="1" t="s">
        <v>29</v>
      </c>
      <c r="D383" s="1" t="s">
        <v>44</v>
      </c>
      <c r="E383" s="1" t="s">
        <v>120</v>
      </c>
      <c r="F383" s="1" t="s">
        <v>21</v>
      </c>
      <c r="G383" s="1" t="s">
        <v>128</v>
      </c>
      <c r="H383" s="1" t="s">
        <v>586</v>
      </c>
      <c r="I383" s="1" t="s">
        <v>503</v>
      </c>
      <c r="J383" s="1" t="s">
        <v>125</v>
      </c>
      <c r="K383" s="1" t="s">
        <v>163</v>
      </c>
      <c r="L383" s="1">
        <v>2480304</v>
      </c>
      <c r="M383" s="1" t="s">
        <v>587</v>
      </c>
      <c r="N383" s="5">
        <f t="shared" si="134"/>
        <v>43178</v>
      </c>
      <c r="O383" s="5">
        <f>DATE(2019,12,23)</f>
        <v>43822</v>
      </c>
      <c r="P383" s="5">
        <f t="shared" si="109"/>
        <v>44917</v>
      </c>
      <c r="Q383" s="1">
        <v>1703</v>
      </c>
      <c r="R383" s="1">
        <v>1200</v>
      </c>
      <c r="S383" s="1">
        <f t="shared" si="110"/>
        <v>1200</v>
      </c>
      <c r="T383" s="1">
        <v>2.5</v>
      </c>
      <c r="U383" s="1" t="str">
        <f t="shared" si="111"/>
        <v>NÃO</v>
      </c>
      <c r="V383" s="1">
        <f t="shared" si="112"/>
        <v>645</v>
      </c>
      <c r="W383" s="4">
        <f t="shared" si="113"/>
        <v>1.8604651162790697</v>
      </c>
      <c r="X383" s="4">
        <f t="shared" si="114"/>
        <v>679.06976744186045</v>
      </c>
      <c r="Y383" s="4">
        <f t="shared" si="115"/>
        <v>0.84883720930232553</v>
      </c>
      <c r="AB383" s="5">
        <f t="shared" si="116"/>
        <v>45292</v>
      </c>
      <c r="AC383" s="5">
        <f t="shared" si="117"/>
        <v>45657</v>
      </c>
      <c r="AE383" s="1">
        <f t="shared" si="118"/>
        <v>0</v>
      </c>
      <c r="AF383" s="1">
        <f t="shared" si="119"/>
        <v>0</v>
      </c>
      <c r="AG383" s="1">
        <f t="shared" si="120"/>
        <v>0</v>
      </c>
      <c r="AH383" s="1">
        <f t="shared" si="121"/>
        <v>0</v>
      </c>
      <c r="AI383" s="1">
        <f t="shared" si="122"/>
        <v>183</v>
      </c>
      <c r="AJ383" s="3">
        <f t="shared" si="123"/>
        <v>0.5</v>
      </c>
      <c r="AK383" s="3">
        <f t="shared" si="124"/>
        <v>0.42441860465116277</v>
      </c>
      <c r="AL383" s="3">
        <f t="shared" si="125"/>
        <v>0</v>
      </c>
      <c r="AM383" s="3">
        <f t="shared" si="126"/>
        <v>0</v>
      </c>
      <c r="AN383" s="3">
        <f t="shared" si="127"/>
        <v>0</v>
      </c>
      <c r="AO383" s="3">
        <f t="shared" si="128"/>
        <v>0</v>
      </c>
      <c r="AP383" s="1" t="str">
        <f>INDEX({"EAD";"EAD";"EAD";"EAD MOOC";"EAD";"EAD";"EAD FP";"EAD";"PRESENCIAL";"PRESENCIAL";"PRESENCIAL";"PRESENCIAL"}, MATCH(CONCATENATE(E383, ".", F383),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84" spans="1:42" x14ac:dyDescent="0.25">
      <c r="A384" s="1" t="s">
        <v>27</v>
      </c>
      <c r="B384" s="1" t="s">
        <v>43</v>
      </c>
      <c r="C384" s="1" t="s">
        <v>29</v>
      </c>
      <c r="D384" s="1" t="s">
        <v>44</v>
      </c>
      <c r="E384" s="1" t="s">
        <v>120</v>
      </c>
      <c r="F384" s="1" t="s">
        <v>21</v>
      </c>
      <c r="G384" s="1" t="s">
        <v>121</v>
      </c>
      <c r="H384" s="1" t="s">
        <v>508</v>
      </c>
      <c r="I384" s="1" t="s">
        <v>503</v>
      </c>
      <c r="J384" s="1" t="s">
        <v>125</v>
      </c>
      <c r="K384" s="1" t="s">
        <v>109</v>
      </c>
      <c r="L384" s="1">
        <v>2481078</v>
      </c>
      <c r="M384" s="1" t="s">
        <v>588</v>
      </c>
      <c r="N384" s="5">
        <f t="shared" si="134"/>
        <v>43178</v>
      </c>
      <c r="O384" s="5">
        <f>DATE(2022,12,23)</f>
        <v>44918</v>
      </c>
      <c r="P384" s="5">
        <f t="shared" si="109"/>
        <v>46013</v>
      </c>
      <c r="Q384" s="1">
        <v>4430</v>
      </c>
      <c r="R384" s="1">
        <v>3600</v>
      </c>
      <c r="S384" s="1">
        <f t="shared" si="110"/>
        <v>3600</v>
      </c>
      <c r="T384" s="1">
        <v>2.5</v>
      </c>
      <c r="U384" s="1" t="str">
        <f t="shared" si="111"/>
        <v>SIM</v>
      </c>
      <c r="V384" s="1">
        <f t="shared" si="112"/>
        <v>1741</v>
      </c>
      <c r="W384" s="4">
        <f t="shared" si="113"/>
        <v>2.0677771395749569</v>
      </c>
      <c r="X384" s="4">
        <f t="shared" si="114"/>
        <v>754.73865594485926</v>
      </c>
      <c r="Y384" s="4">
        <f t="shared" si="115"/>
        <v>0.94342331993107409</v>
      </c>
      <c r="AB384" s="5">
        <f t="shared" si="116"/>
        <v>45292</v>
      </c>
      <c r="AC384" s="5">
        <f t="shared" si="117"/>
        <v>45657</v>
      </c>
      <c r="AD384" s="1">
        <v>9</v>
      </c>
      <c r="AE384" s="1">
        <f t="shared" si="118"/>
        <v>0</v>
      </c>
      <c r="AF384" s="1">
        <f t="shared" si="119"/>
        <v>0</v>
      </c>
      <c r="AG384" s="1">
        <f t="shared" si="120"/>
        <v>0</v>
      </c>
      <c r="AH384" s="1">
        <f t="shared" si="121"/>
        <v>0</v>
      </c>
      <c r="AI384" s="1">
        <f t="shared" si="122"/>
        <v>183</v>
      </c>
      <c r="AJ384" s="3">
        <f t="shared" si="123"/>
        <v>0.5</v>
      </c>
      <c r="AK384" s="3">
        <f t="shared" si="124"/>
        <v>0.47171165996553704</v>
      </c>
      <c r="AL384" s="3">
        <f t="shared" si="125"/>
        <v>2.1227024698449166</v>
      </c>
      <c r="AM384" s="3">
        <f t="shared" si="126"/>
        <v>5.3067561746122918</v>
      </c>
      <c r="AN384" s="3">
        <f t="shared" si="127"/>
        <v>0</v>
      </c>
      <c r="AO384" s="3">
        <f t="shared" si="128"/>
        <v>5.3067561746122918</v>
      </c>
      <c r="AP384" s="1" t="str">
        <f>INDEX({"EAD";"EAD";"EAD";"EAD MOOC";"EAD";"EAD";"EAD FP";"EAD";"PRESENCIAL";"PRESENCIAL";"PRESENCIAL";"PRESENCIAL"}, MATCH(CONCATENATE(E384, ".", F384),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85" spans="1:42" x14ac:dyDescent="0.25">
      <c r="A385" s="1" t="s">
        <v>27</v>
      </c>
      <c r="B385" s="1" t="s">
        <v>43</v>
      </c>
      <c r="C385" s="1" t="s">
        <v>29</v>
      </c>
      <c r="D385" s="1" t="s">
        <v>44</v>
      </c>
      <c r="E385" s="1" t="s">
        <v>120</v>
      </c>
      <c r="F385" s="1" t="s">
        <v>21</v>
      </c>
      <c r="G385" s="1" t="s">
        <v>121</v>
      </c>
      <c r="H385" s="1" t="s">
        <v>506</v>
      </c>
      <c r="I385" s="1" t="s">
        <v>209</v>
      </c>
      <c r="J385" s="1" t="s">
        <v>125</v>
      </c>
      <c r="K385" s="1" t="s">
        <v>109</v>
      </c>
      <c r="L385" s="1">
        <v>2481079</v>
      </c>
      <c r="M385" s="1" t="s">
        <v>589</v>
      </c>
      <c r="N385" s="5">
        <f t="shared" si="134"/>
        <v>43178</v>
      </c>
      <c r="O385" s="5">
        <f>DATE(2022,12,23)</f>
        <v>44918</v>
      </c>
      <c r="P385" s="5">
        <f t="shared" si="109"/>
        <v>46013</v>
      </c>
      <c r="Q385" s="1">
        <v>4280</v>
      </c>
      <c r="R385" s="1">
        <v>3200</v>
      </c>
      <c r="S385" s="1">
        <f t="shared" si="110"/>
        <v>3200</v>
      </c>
      <c r="T385" s="1">
        <v>2.5</v>
      </c>
      <c r="U385" s="1" t="str">
        <f t="shared" si="111"/>
        <v>SIM</v>
      </c>
      <c r="V385" s="1">
        <f t="shared" si="112"/>
        <v>1741</v>
      </c>
      <c r="W385" s="4">
        <f t="shared" si="113"/>
        <v>1.8380241240666284</v>
      </c>
      <c r="X385" s="4">
        <f t="shared" si="114"/>
        <v>670.87880528431936</v>
      </c>
      <c r="Y385" s="4">
        <f t="shared" si="115"/>
        <v>0.83859850660539914</v>
      </c>
      <c r="AB385" s="5">
        <f t="shared" si="116"/>
        <v>45292</v>
      </c>
      <c r="AC385" s="5">
        <f t="shared" si="117"/>
        <v>45657</v>
      </c>
      <c r="AD385" s="1">
        <v>17</v>
      </c>
      <c r="AE385" s="1">
        <f t="shared" si="118"/>
        <v>0</v>
      </c>
      <c r="AF385" s="1">
        <f t="shared" si="119"/>
        <v>0</v>
      </c>
      <c r="AG385" s="1">
        <f t="shared" si="120"/>
        <v>0</v>
      </c>
      <c r="AH385" s="1">
        <f t="shared" si="121"/>
        <v>0</v>
      </c>
      <c r="AI385" s="1">
        <f t="shared" si="122"/>
        <v>183</v>
      </c>
      <c r="AJ385" s="3">
        <f t="shared" si="123"/>
        <v>0.5</v>
      </c>
      <c r="AK385" s="3">
        <f t="shared" si="124"/>
        <v>0.41929925330269957</v>
      </c>
      <c r="AL385" s="3">
        <f t="shared" si="125"/>
        <v>3.5640436530729462</v>
      </c>
      <c r="AM385" s="3">
        <f t="shared" si="126"/>
        <v>8.9101091326823649</v>
      </c>
      <c r="AN385" s="3">
        <f t="shared" si="127"/>
        <v>0</v>
      </c>
      <c r="AO385" s="3">
        <f t="shared" si="128"/>
        <v>8.9101091326823649</v>
      </c>
      <c r="AP385" s="1" t="str">
        <f>INDEX({"EAD";"EAD";"EAD";"EAD MOOC";"EAD";"EAD";"EAD FP";"EAD";"PRESENCIAL";"PRESENCIAL";"PRESENCIAL";"PRESENCIAL"}, MATCH(CONCATENATE(E385, ".", F385),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86" spans="1:42" x14ac:dyDescent="0.25">
      <c r="A386" s="1" t="s">
        <v>27</v>
      </c>
      <c r="B386" s="1" t="s">
        <v>43</v>
      </c>
      <c r="C386" s="1" t="s">
        <v>29</v>
      </c>
      <c r="D386" s="1" t="s">
        <v>44</v>
      </c>
      <c r="E386" s="1" t="s">
        <v>120</v>
      </c>
      <c r="F386" s="1" t="s">
        <v>21</v>
      </c>
      <c r="G386" s="1" t="s">
        <v>121</v>
      </c>
      <c r="H386" s="1" t="s">
        <v>495</v>
      </c>
      <c r="I386" s="1" t="s">
        <v>124</v>
      </c>
      <c r="J386" s="1" t="s">
        <v>125</v>
      </c>
      <c r="K386" s="1" t="s">
        <v>109</v>
      </c>
      <c r="L386" s="1">
        <v>2481080</v>
      </c>
      <c r="M386" s="1" t="s">
        <v>590</v>
      </c>
      <c r="N386" s="5">
        <f t="shared" si="134"/>
        <v>43178</v>
      </c>
      <c r="O386" s="5">
        <f>DATE(2020,12,23)</f>
        <v>44188</v>
      </c>
      <c r="P386" s="5">
        <f t="shared" si="109"/>
        <v>45283</v>
      </c>
      <c r="Q386" s="1">
        <v>2587</v>
      </c>
      <c r="R386" s="1">
        <v>2400</v>
      </c>
      <c r="S386" s="1">
        <f t="shared" si="110"/>
        <v>2400</v>
      </c>
      <c r="T386" s="1">
        <v>1</v>
      </c>
      <c r="U386" s="1" t="str">
        <f t="shared" si="111"/>
        <v>NÃO</v>
      </c>
      <c r="V386" s="1">
        <f t="shared" si="112"/>
        <v>1011</v>
      </c>
      <c r="W386" s="4">
        <f t="shared" si="113"/>
        <v>2.3738872403560829</v>
      </c>
      <c r="X386" s="4">
        <f t="shared" si="114"/>
        <v>866.46884272997022</v>
      </c>
      <c r="Y386" s="4">
        <f t="shared" si="115"/>
        <v>1.0830860534124627</v>
      </c>
      <c r="AB386" s="5">
        <f t="shared" si="116"/>
        <v>45292</v>
      </c>
      <c r="AC386" s="5">
        <f t="shared" si="117"/>
        <v>45657</v>
      </c>
      <c r="AD386" s="1">
        <v>5</v>
      </c>
      <c r="AE386" s="1">
        <f t="shared" si="118"/>
        <v>0</v>
      </c>
      <c r="AF386" s="1">
        <f t="shared" si="119"/>
        <v>0</v>
      </c>
      <c r="AG386" s="1">
        <f t="shared" si="120"/>
        <v>0</v>
      </c>
      <c r="AH386" s="1">
        <f t="shared" si="121"/>
        <v>0</v>
      </c>
      <c r="AI386" s="1">
        <f t="shared" si="122"/>
        <v>183</v>
      </c>
      <c r="AJ386" s="3">
        <f t="shared" si="123"/>
        <v>0.5</v>
      </c>
      <c r="AK386" s="3">
        <f t="shared" si="124"/>
        <v>0.54154302670623133</v>
      </c>
      <c r="AL386" s="3">
        <f t="shared" si="125"/>
        <v>0</v>
      </c>
      <c r="AM386" s="3">
        <f t="shared" si="126"/>
        <v>0</v>
      </c>
      <c r="AN386" s="3">
        <f t="shared" si="127"/>
        <v>0</v>
      </c>
      <c r="AO386" s="3">
        <f t="shared" si="128"/>
        <v>0</v>
      </c>
      <c r="AP386" s="1" t="str">
        <f>INDEX({"EAD";"EAD";"EAD";"EAD MOOC";"EAD";"EAD";"EAD FP";"EAD";"PRESENCIAL";"PRESENCIAL";"PRESENCIAL";"PRESENCIAL"}, MATCH(CONCATENATE(E386, ".", F386),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87" spans="1:42" x14ac:dyDescent="0.25">
      <c r="A387" s="1" t="s">
        <v>27</v>
      </c>
      <c r="B387" s="1" t="s">
        <v>43</v>
      </c>
      <c r="C387" s="1" t="s">
        <v>29</v>
      </c>
      <c r="D387" s="1" t="s">
        <v>44</v>
      </c>
      <c r="E387" s="1" t="s">
        <v>120</v>
      </c>
      <c r="F387" s="1" t="s">
        <v>21</v>
      </c>
      <c r="G387" s="1" t="s">
        <v>121</v>
      </c>
      <c r="H387" s="1" t="s">
        <v>537</v>
      </c>
      <c r="I387" s="1" t="s">
        <v>187</v>
      </c>
      <c r="J387" s="1" t="s">
        <v>125</v>
      </c>
      <c r="K387" s="1" t="s">
        <v>109</v>
      </c>
      <c r="L387" s="1">
        <v>2481081</v>
      </c>
      <c r="M387" s="1" t="s">
        <v>591</v>
      </c>
      <c r="N387" s="5">
        <f t="shared" si="134"/>
        <v>43178</v>
      </c>
      <c r="O387" s="5">
        <f>DATE(2020,12,23)</f>
        <v>44188</v>
      </c>
      <c r="P387" s="5">
        <f t="shared" si="109"/>
        <v>45283</v>
      </c>
      <c r="Q387" s="1">
        <v>2668</v>
      </c>
      <c r="R387" s="1">
        <v>2400</v>
      </c>
      <c r="S387" s="1">
        <f t="shared" si="110"/>
        <v>2400</v>
      </c>
      <c r="T387" s="1">
        <v>1</v>
      </c>
      <c r="U387" s="1" t="str">
        <f t="shared" si="111"/>
        <v>NÃO</v>
      </c>
      <c r="V387" s="1">
        <f t="shared" si="112"/>
        <v>1011</v>
      </c>
      <c r="W387" s="4">
        <f t="shared" si="113"/>
        <v>2.3738872403560829</v>
      </c>
      <c r="X387" s="4">
        <f t="shared" si="114"/>
        <v>866.46884272997022</v>
      </c>
      <c r="Y387" s="4">
        <f t="shared" si="115"/>
        <v>1.0830860534124627</v>
      </c>
      <c r="AB387" s="5">
        <f t="shared" si="116"/>
        <v>45292</v>
      </c>
      <c r="AC387" s="5">
        <f t="shared" si="117"/>
        <v>45657</v>
      </c>
      <c r="AD387" s="1">
        <v>3</v>
      </c>
      <c r="AE387" s="1">
        <f t="shared" si="118"/>
        <v>0</v>
      </c>
      <c r="AF387" s="1">
        <f t="shared" si="119"/>
        <v>0</v>
      </c>
      <c r="AG387" s="1">
        <f t="shared" si="120"/>
        <v>0</v>
      </c>
      <c r="AH387" s="1">
        <f t="shared" si="121"/>
        <v>0</v>
      </c>
      <c r="AI387" s="1">
        <f t="shared" si="122"/>
        <v>183</v>
      </c>
      <c r="AJ387" s="3">
        <f t="shared" si="123"/>
        <v>0.5</v>
      </c>
      <c r="AK387" s="3">
        <f t="shared" si="124"/>
        <v>0.54154302670623133</v>
      </c>
      <c r="AL387" s="3">
        <f t="shared" si="125"/>
        <v>0</v>
      </c>
      <c r="AM387" s="3">
        <f t="shared" si="126"/>
        <v>0</v>
      </c>
      <c r="AN387" s="3">
        <f t="shared" si="127"/>
        <v>0</v>
      </c>
      <c r="AO387" s="3">
        <f t="shared" si="128"/>
        <v>0</v>
      </c>
      <c r="AP387" s="1" t="str">
        <f>INDEX({"EAD";"EAD";"EAD";"EAD MOOC";"EAD";"EAD";"EAD FP";"EAD";"PRESENCIAL";"PRESENCIAL";"PRESENCIAL";"PRESENCIAL"}, MATCH(CONCATENATE(E387, ".", F387),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88" spans="1:42" x14ac:dyDescent="0.25">
      <c r="A388" s="1" t="s">
        <v>27</v>
      </c>
      <c r="B388" s="1" t="s">
        <v>43</v>
      </c>
      <c r="C388" s="1" t="s">
        <v>29</v>
      </c>
      <c r="D388" s="1" t="s">
        <v>44</v>
      </c>
      <c r="E388" s="1" t="s">
        <v>120</v>
      </c>
      <c r="F388" s="1" t="s">
        <v>21</v>
      </c>
      <c r="G388" s="1" t="s">
        <v>140</v>
      </c>
      <c r="H388" s="1" t="s">
        <v>502</v>
      </c>
      <c r="I388" s="1" t="s">
        <v>503</v>
      </c>
      <c r="J388" s="1" t="s">
        <v>125</v>
      </c>
      <c r="K388" s="1" t="s">
        <v>109</v>
      </c>
      <c r="L388" s="1">
        <v>2481084</v>
      </c>
      <c r="M388" s="1" t="s">
        <v>592</v>
      </c>
      <c r="N388" s="5">
        <f t="shared" si="134"/>
        <v>43178</v>
      </c>
      <c r="O388" s="5">
        <f>DATE(2021,8,16)</f>
        <v>44424</v>
      </c>
      <c r="P388" s="5">
        <f t="shared" ref="P388:P451" si="135">IF(G388="QUALIFICACAO PROFISSIONAL (FIC)",O388,O388+1095)</f>
        <v>45519</v>
      </c>
      <c r="Q388" s="1">
        <v>2406</v>
      </c>
      <c r="R388" s="1">
        <v>2400</v>
      </c>
      <c r="S388" s="1">
        <f t="shared" ref="S388:S451" si="136">IF(OR(G388="QUALIFICACAO PROFISSIONAL (FIC)",G388="DOUTORADO"),Q388,    IF(ISNUMBER(FIND("PROEJA",K388)),2400,        IF(K388="INTEGRADO",            IF(R388=800,3000,                IF(R388=1000,3100,                    IF(R388=1200,3200,R388)                )            ),            R388        )    ))</f>
        <v>2400</v>
      </c>
      <c r="T388" s="1">
        <v>2.5</v>
      </c>
      <c r="U388" s="1" t="str">
        <f t="shared" ref="U388:U451" si="137">IF(P388&lt;AB388,"NÃO","SIM")</f>
        <v>SIM</v>
      </c>
      <c r="V388" s="1">
        <f t="shared" ref="V388:V451" si="138">O388-N388+1</f>
        <v>1247</v>
      </c>
      <c r="W388" s="4">
        <f t="shared" ref="W388:W451" si="139">IF(S388&gt;Q388,Q388,S388)/V388</f>
        <v>1.9246190858059342</v>
      </c>
      <c r="X388" s="4">
        <f t="shared" ref="X388:X451" si="140">IF(V388&gt;365,W388*365,S388)</f>
        <v>702.48596631916598</v>
      </c>
      <c r="Y388" s="4">
        <f t="shared" ref="Y388:Y451" si="141">IF(V388&gt;365,X388/800,S388/800)</f>
        <v>0.8781074578989575</v>
      </c>
      <c r="AB388" s="5">
        <f t="shared" ref="AB388:AB451" si="142">DATE(2024,1,1)</f>
        <v>45292</v>
      </c>
      <c r="AC388" s="5">
        <f t="shared" ref="AC388:AC451" si="143">DATE(2024,12,31)</f>
        <v>45657</v>
      </c>
      <c r="AD388" s="1">
        <v>7</v>
      </c>
      <c r="AE388" s="1">
        <f t="shared" ref="AE388:AE451" si="144">IF(AND(N388&lt;AB388,O388&gt;AC388),AC388-AB388+1,0)</f>
        <v>0</v>
      </c>
      <c r="AF388" s="1">
        <f t="shared" ref="AF388:AF451" si="145">IF(AND(N388&gt;=AB388,O388&gt;AC388,N388&lt;AC388),AC388-N388+1,0)</f>
        <v>0</v>
      </c>
      <c r="AG388" s="1">
        <f t="shared" ref="AG388:AG451" si="146">IF(AND(N388&lt;AB388,O388&lt;=AC388,O388&gt;=AB388),O388-AB388+1,0)</f>
        <v>0</v>
      </c>
      <c r="AH388" s="1">
        <f t="shared" ref="AH388:AH451" si="147">IF(AND(N388&gt;=AB388,O388&lt;=AC388),O388-N388+1,0)</f>
        <v>0</v>
      </c>
      <c r="AI388" s="1">
        <f t="shared" ref="AI388:AI451" si="148">IF(AND(N388&lt;AB388,O388&lt;AB388),(AC388-AB388+1)/2,0)</f>
        <v>183</v>
      </c>
      <c r="AJ388" s="3">
        <f t="shared" ref="AJ388:AJ451" si="149">SUM(AE388:AI388)/IF(V388&gt;=365,AC388-AB388+1,V388)</f>
        <v>0.5</v>
      </c>
      <c r="AK388" s="3">
        <f t="shared" ref="AK388:AK451" si="150">Y388*AJ388</f>
        <v>0.43905372894947875</v>
      </c>
      <c r="AL388" s="3">
        <f t="shared" ref="AL388:AL451" si="151">IF(AI388=0,AK388*AD388,IF(U388="SIM",AK388*(AD388/2),0))</f>
        <v>1.5366880513231755</v>
      </c>
      <c r="AM388" s="3">
        <f t="shared" ref="AM388:AM451" si="152">AL388*T388</f>
        <v>3.841720128307939</v>
      </c>
      <c r="AN388" s="3">
        <f t="shared" ref="AN388:AN451" si="153">IF(J388="SIM",AM388*50%,0)</f>
        <v>0</v>
      </c>
      <c r="AO388" s="3">
        <f t="shared" ref="AO388:AO451" si="154">IF(U388="SIM",AM388+AN388,0)</f>
        <v>3.841720128307939</v>
      </c>
      <c r="AP388" s="1" t="str">
        <f>INDEX({"EAD";"EAD";"EAD";"EAD MOOC";"EAD";"EAD";"EAD FP";"EAD";"PRESENCIAL";"PRESENCIAL";"PRESENCIAL";"PRESENCIAL"}, MATCH(CONCATENATE(E388, ".", F388),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89" spans="1:42" x14ac:dyDescent="0.25">
      <c r="A389" s="1" t="s">
        <v>27</v>
      </c>
      <c r="B389" s="1" t="s">
        <v>43</v>
      </c>
      <c r="C389" s="1" t="s">
        <v>29</v>
      </c>
      <c r="D389" s="1" t="s">
        <v>44</v>
      </c>
      <c r="E389" s="1" t="s">
        <v>120</v>
      </c>
      <c r="F389" s="1" t="s">
        <v>21</v>
      </c>
      <c r="G389" s="1" t="s">
        <v>140</v>
      </c>
      <c r="H389" s="1" t="s">
        <v>529</v>
      </c>
      <c r="I389" s="1" t="s">
        <v>289</v>
      </c>
      <c r="J389" s="1" t="s">
        <v>125</v>
      </c>
      <c r="K389" s="1" t="s">
        <v>109</v>
      </c>
      <c r="L389" s="1">
        <v>2481088</v>
      </c>
      <c r="M389" s="1" t="s">
        <v>593</v>
      </c>
      <c r="N389" s="5">
        <f t="shared" si="134"/>
        <v>43178</v>
      </c>
      <c r="O389" s="5">
        <f>DATE(2021,8,16)</f>
        <v>44424</v>
      </c>
      <c r="P389" s="5">
        <f t="shared" si="135"/>
        <v>45519</v>
      </c>
      <c r="Q389" s="1">
        <v>2562</v>
      </c>
      <c r="R389" s="1">
        <v>2400</v>
      </c>
      <c r="S389" s="1">
        <f t="shared" si="136"/>
        <v>2400</v>
      </c>
      <c r="T389" s="1">
        <v>2.5</v>
      </c>
      <c r="U389" s="1" t="str">
        <f t="shared" si="137"/>
        <v>SIM</v>
      </c>
      <c r="V389" s="1">
        <f t="shared" si="138"/>
        <v>1247</v>
      </c>
      <c r="W389" s="4">
        <f t="shared" si="139"/>
        <v>1.9246190858059342</v>
      </c>
      <c r="X389" s="4">
        <f t="shared" si="140"/>
        <v>702.48596631916598</v>
      </c>
      <c r="Y389" s="4">
        <f t="shared" si="141"/>
        <v>0.8781074578989575</v>
      </c>
      <c r="AB389" s="5">
        <f t="shared" si="142"/>
        <v>45292</v>
      </c>
      <c r="AC389" s="5">
        <f t="shared" si="143"/>
        <v>45657</v>
      </c>
      <c r="AD389" s="1">
        <v>15</v>
      </c>
      <c r="AE389" s="1">
        <f t="shared" si="144"/>
        <v>0</v>
      </c>
      <c r="AF389" s="1">
        <f t="shared" si="145"/>
        <v>0</v>
      </c>
      <c r="AG389" s="1">
        <f t="shared" si="146"/>
        <v>0</v>
      </c>
      <c r="AH389" s="1">
        <f t="shared" si="147"/>
        <v>0</v>
      </c>
      <c r="AI389" s="1">
        <f t="shared" si="148"/>
        <v>183</v>
      </c>
      <c r="AJ389" s="3">
        <f t="shared" si="149"/>
        <v>0.5</v>
      </c>
      <c r="AK389" s="3">
        <f t="shared" si="150"/>
        <v>0.43905372894947875</v>
      </c>
      <c r="AL389" s="3">
        <f t="shared" si="151"/>
        <v>3.2929029671210905</v>
      </c>
      <c r="AM389" s="3">
        <f t="shared" si="152"/>
        <v>8.2322574178027264</v>
      </c>
      <c r="AN389" s="3">
        <f t="shared" si="153"/>
        <v>0</v>
      </c>
      <c r="AO389" s="3">
        <f t="shared" si="154"/>
        <v>8.2322574178027264</v>
      </c>
      <c r="AP389" s="1" t="str">
        <f>INDEX({"EAD";"EAD";"EAD";"EAD MOOC";"EAD";"EAD";"EAD FP";"EAD";"PRESENCIAL";"PRESENCIAL";"PRESENCIAL";"PRESENCIAL"}, MATCH(CONCATENATE(E389, ".", F389),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90" spans="1:42" x14ac:dyDescent="0.25">
      <c r="A390" s="1" t="s">
        <v>27</v>
      </c>
      <c r="B390" s="1" t="s">
        <v>43</v>
      </c>
      <c r="C390" s="1" t="s">
        <v>29</v>
      </c>
      <c r="D390" s="1" t="s">
        <v>44</v>
      </c>
      <c r="E390" s="1" t="s">
        <v>120</v>
      </c>
      <c r="F390" s="1" t="s">
        <v>21</v>
      </c>
      <c r="G390" s="1" t="s">
        <v>140</v>
      </c>
      <c r="H390" s="1" t="s">
        <v>534</v>
      </c>
      <c r="I390" s="1" t="s">
        <v>289</v>
      </c>
      <c r="J390" s="1" t="s">
        <v>125</v>
      </c>
      <c r="K390" s="1" t="s">
        <v>109</v>
      </c>
      <c r="L390" s="1">
        <v>2481091</v>
      </c>
      <c r="M390" s="1" t="s">
        <v>594</v>
      </c>
      <c r="N390" s="5">
        <f t="shared" si="134"/>
        <v>43178</v>
      </c>
      <c r="O390" s="5">
        <f>DATE(2020,12,23)</f>
        <v>44188</v>
      </c>
      <c r="P390" s="5">
        <f t="shared" si="135"/>
        <v>45283</v>
      </c>
      <c r="Q390" s="1">
        <v>2332</v>
      </c>
      <c r="R390" s="1">
        <v>2400</v>
      </c>
      <c r="S390" s="1">
        <f t="shared" si="136"/>
        <v>2400</v>
      </c>
      <c r="T390" s="1">
        <v>2.5</v>
      </c>
      <c r="U390" s="1" t="str">
        <f t="shared" si="137"/>
        <v>NÃO</v>
      </c>
      <c r="V390" s="1">
        <f t="shared" si="138"/>
        <v>1011</v>
      </c>
      <c r="W390" s="4">
        <f t="shared" si="139"/>
        <v>2.3066271018793274</v>
      </c>
      <c r="X390" s="4">
        <f t="shared" si="140"/>
        <v>841.91889218595452</v>
      </c>
      <c r="Y390" s="4">
        <f t="shared" si="141"/>
        <v>1.0523986152324432</v>
      </c>
      <c r="AB390" s="5">
        <f t="shared" si="142"/>
        <v>45292</v>
      </c>
      <c r="AC390" s="5">
        <f t="shared" si="143"/>
        <v>45657</v>
      </c>
      <c r="AD390" s="1">
        <v>4</v>
      </c>
      <c r="AE390" s="1">
        <f t="shared" si="144"/>
        <v>0</v>
      </c>
      <c r="AF390" s="1">
        <f t="shared" si="145"/>
        <v>0</v>
      </c>
      <c r="AG390" s="1">
        <f t="shared" si="146"/>
        <v>0</v>
      </c>
      <c r="AH390" s="1">
        <f t="shared" si="147"/>
        <v>0</v>
      </c>
      <c r="AI390" s="1">
        <f t="shared" si="148"/>
        <v>183</v>
      </c>
      <c r="AJ390" s="3">
        <f t="shared" si="149"/>
        <v>0.5</v>
      </c>
      <c r="AK390" s="3">
        <f t="shared" si="150"/>
        <v>0.52619930761622158</v>
      </c>
      <c r="AL390" s="3">
        <f t="shared" si="151"/>
        <v>0</v>
      </c>
      <c r="AM390" s="3">
        <f t="shared" si="152"/>
        <v>0</v>
      </c>
      <c r="AN390" s="3">
        <f t="shared" si="153"/>
        <v>0</v>
      </c>
      <c r="AO390" s="3">
        <f t="shared" si="154"/>
        <v>0</v>
      </c>
      <c r="AP390" s="1" t="str">
        <f>INDEX({"EAD";"EAD";"EAD";"EAD MOOC";"EAD";"EAD";"EAD FP";"EAD";"PRESENCIAL";"PRESENCIAL";"PRESENCIAL";"PRESENCIAL"}, MATCH(CONCATENATE(E390, ".", F390),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91" spans="1:42" x14ac:dyDescent="0.25">
      <c r="A391" s="1" t="s">
        <v>27</v>
      </c>
      <c r="B391" s="1" t="s">
        <v>43</v>
      </c>
      <c r="C391" s="1" t="s">
        <v>29</v>
      </c>
      <c r="D391" s="1" t="s">
        <v>44</v>
      </c>
      <c r="E391" s="1" t="s">
        <v>120</v>
      </c>
      <c r="F391" s="1" t="s">
        <v>21</v>
      </c>
      <c r="G391" s="1" t="s">
        <v>140</v>
      </c>
      <c r="H391" s="1" t="s">
        <v>550</v>
      </c>
      <c r="I391" s="1" t="s">
        <v>209</v>
      </c>
      <c r="J391" s="1" t="s">
        <v>125</v>
      </c>
      <c r="K391" s="1" t="s">
        <v>109</v>
      </c>
      <c r="L391" s="1">
        <v>2481095</v>
      </c>
      <c r="M391" s="1" t="s">
        <v>595</v>
      </c>
      <c r="N391" s="5">
        <f t="shared" si="134"/>
        <v>43178</v>
      </c>
      <c r="O391" s="5">
        <f>DATE(2020,12,23)</f>
        <v>44188</v>
      </c>
      <c r="P391" s="5">
        <f t="shared" si="135"/>
        <v>45283</v>
      </c>
      <c r="Q391" s="1">
        <v>2246</v>
      </c>
      <c r="R391" s="1">
        <v>2000</v>
      </c>
      <c r="S391" s="1">
        <f t="shared" si="136"/>
        <v>2000</v>
      </c>
      <c r="T391" s="1">
        <v>1.5</v>
      </c>
      <c r="U391" s="1" t="str">
        <f t="shared" si="137"/>
        <v>NÃO</v>
      </c>
      <c r="V391" s="1">
        <f t="shared" si="138"/>
        <v>1011</v>
      </c>
      <c r="W391" s="4">
        <f t="shared" si="139"/>
        <v>1.9782393669634026</v>
      </c>
      <c r="X391" s="4">
        <f t="shared" si="140"/>
        <v>722.05736894164193</v>
      </c>
      <c r="Y391" s="4">
        <f t="shared" si="141"/>
        <v>0.90257171117705237</v>
      </c>
      <c r="AB391" s="5">
        <f t="shared" si="142"/>
        <v>45292</v>
      </c>
      <c r="AC391" s="5">
        <f t="shared" si="143"/>
        <v>45657</v>
      </c>
      <c r="AD391" s="1">
        <v>2</v>
      </c>
      <c r="AE391" s="1">
        <f t="shared" si="144"/>
        <v>0</v>
      </c>
      <c r="AF391" s="1">
        <f t="shared" si="145"/>
        <v>0</v>
      </c>
      <c r="AG391" s="1">
        <f t="shared" si="146"/>
        <v>0</v>
      </c>
      <c r="AH391" s="1">
        <f t="shared" si="147"/>
        <v>0</v>
      </c>
      <c r="AI391" s="1">
        <f t="shared" si="148"/>
        <v>183</v>
      </c>
      <c r="AJ391" s="3">
        <f t="shared" si="149"/>
        <v>0.5</v>
      </c>
      <c r="AK391" s="3">
        <f t="shared" si="150"/>
        <v>0.45128585558852619</v>
      </c>
      <c r="AL391" s="3">
        <f t="shared" si="151"/>
        <v>0</v>
      </c>
      <c r="AM391" s="3">
        <f t="shared" si="152"/>
        <v>0</v>
      </c>
      <c r="AN391" s="3">
        <f t="shared" si="153"/>
        <v>0</v>
      </c>
      <c r="AO391" s="3">
        <f t="shared" si="154"/>
        <v>0</v>
      </c>
      <c r="AP391" s="1" t="str">
        <f>INDEX({"EAD";"EAD";"EAD";"EAD MOOC";"EAD";"EAD";"EAD FP";"EAD";"PRESENCIAL";"PRESENCIAL";"PRESENCIAL";"PRESENCIAL"}, MATCH(CONCATENATE(E391, ".", F391),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92" spans="1:42" x14ac:dyDescent="0.25">
      <c r="A392" s="1" t="s">
        <v>27</v>
      </c>
      <c r="B392" s="1" t="s">
        <v>43</v>
      </c>
      <c r="C392" s="1" t="s">
        <v>29</v>
      </c>
      <c r="D392" s="1" t="s">
        <v>44</v>
      </c>
      <c r="E392" s="1" t="s">
        <v>120</v>
      </c>
      <c r="F392" s="1" t="s">
        <v>21</v>
      </c>
      <c r="G392" s="1" t="s">
        <v>140</v>
      </c>
      <c r="H392" s="1" t="s">
        <v>500</v>
      </c>
      <c r="I392" s="1" t="s">
        <v>209</v>
      </c>
      <c r="J392" s="1" t="s">
        <v>125</v>
      </c>
      <c r="K392" s="1" t="s">
        <v>109</v>
      </c>
      <c r="L392" s="1">
        <v>2481096</v>
      </c>
      <c r="M392" s="1" t="s">
        <v>596</v>
      </c>
      <c r="N392" s="5">
        <f t="shared" si="134"/>
        <v>43178</v>
      </c>
      <c r="O392" s="5">
        <f>DATE(2020,12,23)</f>
        <v>44188</v>
      </c>
      <c r="P392" s="5">
        <f t="shared" si="135"/>
        <v>45283</v>
      </c>
      <c r="Q392" s="1">
        <v>2324</v>
      </c>
      <c r="R392" s="1">
        <v>2000</v>
      </c>
      <c r="S392" s="1">
        <f t="shared" si="136"/>
        <v>2000</v>
      </c>
      <c r="T392" s="1">
        <v>1</v>
      </c>
      <c r="U392" s="1" t="str">
        <f t="shared" si="137"/>
        <v>NÃO</v>
      </c>
      <c r="V392" s="1">
        <f t="shared" si="138"/>
        <v>1011</v>
      </c>
      <c r="W392" s="4">
        <f t="shared" si="139"/>
        <v>1.9782393669634026</v>
      </c>
      <c r="X392" s="4">
        <f t="shared" si="140"/>
        <v>722.05736894164193</v>
      </c>
      <c r="Y392" s="4">
        <f t="shared" si="141"/>
        <v>0.90257171117705237</v>
      </c>
      <c r="AB392" s="5">
        <f t="shared" si="142"/>
        <v>45292</v>
      </c>
      <c r="AC392" s="5">
        <f t="shared" si="143"/>
        <v>45657</v>
      </c>
      <c r="AD392" s="1">
        <v>7</v>
      </c>
      <c r="AE392" s="1">
        <f t="shared" si="144"/>
        <v>0</v>
      </c>
      <c r="AF392" s="1">
        <f t="shared" si="145"/>
        <v>0</v>
      </c>
      <c r="AG392" s="1">
        <f t="shared" si="146"/>
        <v>0</v>
      </c>
      <c r="AH392" s="1">
        <f t="shared" si="147"/>
        <v>0</v>
      </c>
      <c r="AI392" s="1">
        <f t="shared" si="148"/>
        <v>183</v>
      </c>
      <c r="AJ392" s="3">
        <f t="shared" si="149"/>
        <v>0.5</v>
      </c>
      <c r="AK392" s="3">
        <f t="shared" si="150"/>
        <v>0.45128585558852619</v>
      </c>
      <c r="AL392" s="3">
        <f t="shared" si="151"/>
        <v>0</v>
      </c>
      <c r="AM392" s="3">
        <f t="shared" si="152"/>
        <v>0</v>
      </c>
      <c r="AN392" s="3">
        <f t="shared" si="153"/>
        <v>0</v>
      </c>
      <c r="AO392" s="3">
        <f t="shared" si="154"/>
        <v>0</v>
      </c>
      <c r="AP392" s="1" t="str">
        <f>INDEX({"EAD";"EAD";"EAD";"EAD MOOC";"EAD";"EAD";"EAD FP";"EAD";"PRESENCIAL";"PRESENCIAL";"PRESENCIAL";"PRESENCIAL"}, MATCH(CONCATENATE(E392, ".", F392),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93" spans="1:42" x14ac:dyDescent="0.25">
      <c r="A393" s="1" t="s">
        <v>27</v>
      </c>
      <c r="B393" s="1" t="s">
        <v>43</v>
      </c>
      <c r="C393" s="1" t="s">
        <v>29</v>
      </c>
      <c r="D393" s="1" t="s">
        <v>44</v>
      </c>
      <c r="E393" s="1" t="s">
        <v>120</v>
      </c>
      <c r="F393" s="1" t="s">
        <v>21</v>
      </c>
      <c r="G393" s="1" t="s">
        <v>161</v>
      </c>
      <c r="H393" s="1" t="s">
        <v>493</v>
      </c>
      <c r="I393" s="1" t="s">
        <v>172</v>
      </c>
      <c r="J393" s="1" t="s">
        <v>125</v>
      </c>
      <c r="K393" s="1" t="s">
        <v>163</v>
      </c>
      <c r="L393" s="1">
        <v>2514517</v>
      </c>
      <c r="M393" s="1" t="s">
        <v>597</v>
      </c>
      <c r="N393" s="5">
        <f>DATE(2018,5,22)</f>
        <v>43242</v>
      </c>
      <c r="O393" s="5">
        <f>DATE(2018,12,23)</f>
        <v>43457</v>
      </c>
      <c r="P393" s="5">
        <f t="shared" si="135"/>
        <v>43457</v>
      </c>
      <c r="Q393" s="1">
        <v>160</v>
      </c>
      <c r="R393" s="1">
        <v>160</v>
      </c>
      <c r="S393" s="1">
        <f t="shared" si="136"/>
        <v>160</v>
      </c>
      <c r="T393" s="1">
        <v>1</v>
      </c>
      <c r="U393" s="1" t="str">
        <f t="shared" si="137"/>
        <v>NÃO</v>
      </c>
      <c r="V393" s="1">
        <f t="shared" si="138"/>
        <v>216</v>
      </c>
      <c r="W393" s="4">
        <f t="shared" si="139"/>
        <v>0.7407407407407407</v>
      </c>
      <c r="X393" s="4">
        <f t="shared" si="140"/>
        <v>160</v>
      </c>
      <c r="Y393" s="4">
        <f t="shared" si="141"/>
        <v>0.2</v>
      </c>
      <c r="AB393" s="5">
        <f t="shared" si="142"/>
        <v>45292</v>
      </c>
      <c r="AC393" s="5">
        <f t="shared" si="143"/>
        <v>45657</v>
      </c>
      <c r="AD393" s="1">
        <v>2</v>
      </c>
      <c r="AE393" s="1">
        <f t="shared" si="144"/>
        <v>0</v>
      </c>
      <c r="AF393" s="1">
        <f t="shared" si="145"/>
        <v>0</v>
      </c>
      <c r="AG393" s="1">
        <f t="shared" si="146"/>
        <v>0</v>
      </c>
      <c r="AH393" s="1">
        <f t="shared" si="147"/>
        <v>0</v>
      </c>
      <c r="AI393" s="1">
        <f t="shared" si="148"/>
        <v>183</v>
      </c>
      <c r="AJ393" s="3">
        <f t="shared" si="149"/>
        <v>0.84722222222222221</v>
      </c>
      <c r="AK393" s="3">
        <f t="shared" si="150"/>
        <v>0.16944444444444445</v>
      </c>
      <c r="AL393" s="3">
        <f t="shared" si="151"/>
        <v>0</v>
      </c>
      <c r="AM393" s="3">
        <f t="shared" si="152"/>
        <v>0</v>
      </c>
      <c r="AN393" s="3">
        <f t="shared" si="153"/>
        <v>0</v>
      </c>
      <c r="AO393" s="3">
        <f t="shared" si="154"/>
        <v>0</v>
      </c>
      <c r="AP393" s="1" t="str">
        <f>INDEX({"EAD";"EAD";"EAD";"EAD MOOC";"EAD";"EAD";"EAD FP";"EAD";"PRESENCIAL";"PRESENCIAL";"PRESENCIAL";"PRESENCIAL"}, MATCH(CONCATENATE(E393, ".", F393),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94" spans="1:42" x14ac:dyDescent="0.25">
      <c r="A394" s="1" t="s">
        <v>27</v>
      </c>
      <c r="B394" s="1" t="s">
        <v>43</v>
      </c>
      <c r="C394" s="1" t="s">
        <v>29</v>
      </c>
      <c r="D394" s="1" t="s">
        <v>44</v>
      </c>
      <c r="E394" s="1" t="s">
        <v>120</v>
      </c>
      <c r="F394" s="1" t="s">
        <v>21</v>
      </c>
      <c r="G394" s="1" t="s">
        <v>128</v>
      </c>
      <c r="H394" s="1" t="s">
        <v>582</v>
      </c>
      <c r="I394" s="1" t="s">
        <v>289</v>
      </c>
      <c r="J394" s="1" t="s">
        <v>125</v>
      </c>
      <c r="K394" s="1" t="s">
        <v>163</v>
      </c>
      <c r="L394" s="1">
        <v>2523466</v>
      </c>
      <c r="M394" s="1" t="s">
        <v>598</v>
      </c>
      <c r="N394" s="5">
        <f t="shared" ref="N394:N403" si="155">DATE(2018,8,13)</f>
        <v>43325</v>
      </c>
      <c r="O394" s="5">
        <f>DATE(2020,7,10)</f>
        <v>44022</v>
      </c>
      <c r="P394" s="5">
        <f t="shared" si="135"/>
        <v>45117</v>
      </c>
      <c r="Q394" s="1">
        <v>1258</v>
      </c>
      <c r="R394" s="1">
        <v>1200</v>
      </c>
      <c r="S394" s="1">
        <f t="shared" si="136"/>
        <v>1200</v>
      </c>
      <c r="T394" s="1">
        <v>2.5</v>
      </c>
      <c r="U394" s="1" t="str">
        <f t="shared" si="137"/>
        <v>NÃO</v>
      </c>
      <c r="V394" s="1">
        <f t="shared" si="138"/>
        <v>698</v>
      </c>
      <c r="W394" s="4">
        <f t="shared" si="139"/>
        <v>1.7191977077363896</v>
      </c>
      <c r="X394" s="4">
        <f t="shared" si="140"/>
        <v>627.50716332378215</v>
      </c>
      <c r="Y394" s="4">
        <f t="shared" si="141"/>
        <v>0.78438395415472772</v>
      </c>
      <c r="AB394" s="5">
        <f t="shared" si="142"/>
        <v>45292</v>
      </c>
      <c r="AC394" s="5">
        <f t="shared" si="143"/>
        <v>45657</v>
      </c>
      <c r="AE394" s="1">
        <f t="shared" si="144"/>
        <v>0</v>
      </c>
      <c r="AF394" s="1">
        <f t="shared" si="145"/>
        <v>0</v>
      </c>
      <c r="AG394" s="1">
        <f t="shared" si="146"/>
        <v>0</v>
      </c>
      <c r="AH394" s="1">
        <f t="shared" si="147"/>
        <v>0</v>
      </c>
      <c r="AI394" s="1">
        <f t="shared" si="148"/>
        <v>183</v>
      </c>
      <c r="AJ394" s="3">
        <f t="shared" si="149"/>
        <v>0.5</v>
      </c>
      <c r="AK394" s="3">
        <f t="shared" si="150"/>
        <v>0.39219197707736386</v>
      </c>
      <c r="AL394" s="3">
        <f t="shared" si="151"/>
        <v>0</v>
      </c>
      <c r="AM394" s="3">
        <f t="shared" si="152"/>
        <v>0</v>
      </c>
      <c r="AN394" s="3">
        <f t="shared" si="153"/>
        <v>0</v>
      </c>
      <c r="AO394" s="3">
        <f t="shared" si="154"/>
        <v>0</v>
      </c>
      <c r="AP394" s="1" t="str">
        <f>INDEX({"EAD";"EAD";"EAD";"EAD MOOC";"EAD";"EAD";"EAD FP";"EAD";"PRESENCIAL";"PRESENCIAL";"PRESENCIAL";"PRESENCIAL"}, MATCH(CONCATENATE(E394, ".", F394),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95" spans="1:42" x14ac:dyDescent="0.25">
      <c r="A395" s="1" t="s">
        <v>27</v>
      </c>
      <c r="B395" s="1" t="s">
        <v>43</v>
      </c>
      <c r="C395" s="1" t="s">
        <v>29</v>
      </c>
      <c r="D395" s="1" t="s">
        <v>44</v>
      </c>
      <c r="E395" s="1" t="s">
        <v>120</v>
      </c>
      <c r="F395" s="1" t="s">
        <v>21</v>
      </c>
      <c r="G395" s="1" t="s">
        <v>128</v>
      </c>
      <c r="H395" s="1" t="s">
        <v>586</v>
      </c>
      <c r="I395" s="1" t="s">
        <v>503</v>
      </c>
      <c r="J395" s="1" t="s">
        <v>125</v>
      </c>
      <c r="K395" s="1" t="s">
        <v>163</v>
      </c>
      <c r="L395" s="1">
        <v>2523472</v>
      </c>
      <c r="M395" s="1" t="s">
        <v>599</v>
      </c>
      <c r="N395" s="5">
        <f t="shared" si="155"/>
        <v>43325</v>
      </c>
      <c r="O395" s="5">
        <f>DATE(2020,7,10)</f>
        <v>44022</v>
      </c>
      <c r="P395" s="5">
        <f t="shared" si="135"/>
        <v>45117</v>
      </c>
      <c r="Q395" s="1">
        <v>1703</v>
      </c>
      <c r="R395" s="1">
        <v>1200</v>
      </c>
      <c r="S395" s="1">
        <f t="shared" si="136"/>
        <v>1200</v>
      </c>
      <c r="T395" s="1">
        <v>2.5</v>
      </c>
      <c r="U395" s="1" t="str">
        <f t="shared" si="137"/>
        <v>NÃO</v>
      </c>
      <c r="V395" s="1">
        <f t="shared" si="138"/>
        <v>698</v>
      </c>
      <c r="W395" s="4">
        <f t="shared" si="139"/>
        <v>1.7191977077363896</v>
      </c>
      <c r="X395" s="4">
        <f t="shared" si="140"/>
        <v>627.50716332378215</v>
      </c>
      <c r="Y395" s="4">
        <f t="shared" si="141"/>
        <v>0.78438395415472772</v>
      </c>
      <c r="AB395" s="5">
        <f t="shared" si="142"/>
        <v>45292</v>
      </c>
      <c r="AC395" s="5">
        <f t="shared" si="143"/>
        <v>45657</v>
      </c>
      <c r="AE395" s="1">
        <f t="shared" si="144"/>
        <v>0</v>
      </c>
      <c r="AF395" s="1">
        <f t="shared" si="145"/>
        <v>0</v>
      </c>
      <c r="AG395" s="1">
        <f t="shared" si="146"/>
        <v>0</v>
      </c>
      <c r="AH395" s="1">
        <f t="shared" si="147"/>
        <v>0</v>
      </c>
      <c r="AI395" s="1">
        <f t="shared" si="148"/>
        <v>183</v>
      </c>
      <c r="AJ395" s="3">
        <f t="shared" si="149"/>
        <v>0.5</v>
      </c>
      <c r="AK395" s="3">
        <f t="shared" si="150"/>
        <v>0.39219197707736386</v>
      </c>
      <c r="AL395" s="3">
        <f t="shared" si="151"/>
        <v>0</v>
      </c>
      <c r="AM395" s="3">
        <f t="shared" si="152"/>
        <v>0</v>
      </c>
      <c r="AN395" s="3">
        <f t="shared" si="153"/>
        <v>0</v>
      </c>
      <c r="AO395" s="3">
        <f t="shared" si="154"/>
        <v>0</v>
      </c>
      <c r="AP395" s="1" t="str">
        <f>INDEX({"EAD";"EAD";"EAD";"EAD MOOC";"EAD";"EAD";"EAD FP";"EAD";"PRESENCIAL";"PRESENCIAL";"PRESENCIAL";"PRESENCIAL"}, MATCH(CONCATENATE(E395, ".", F395),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96" spans="1:42" x14ac:dyDescent="0.25">
      <c r="A396" s="1" t="s">
        <v>27</v>
      </c>
      <c r="B396" s="1" t="s">
        <v>43</v>
      </c>
      <c r="C396" s="1" t="s">
        <v>29</v>
      </c>
      <c r="D396" s="1" t="s">
        <v>44</v>
      </c>
      <c r="E396" s="1" t="s">
        <v>120</v>
      </c>
      <c r="F396" s="1" t="s">
        <v>21</v>
      </c>
      <c r="G396" s="1" t="s">
        <v>128</v>
      </c>
      <c r="H396" s="1" t="s">
        <v>526</v>
      </c>
      <c r="I396" s="1" t="s">
        <v>503</v>
      </c>
      <c r="J396" s="1" t="s">
        <v>125</v>
      </c>
      <c r="K396" s="1" t="s">
        <v>163</v>
      </c>
      <c r="L396" s="1">
        <v>2523473</v>
      </c>
      <c r="M396" s="1" t="s">
        <v>600</v>
      </c>
      <c r="N396" s="5">
        <f t="shared" si="155"/>
        <v>43325</v>
      </c>
      <c r="O396" s="5">
        <f>DATE(2020,7,10)</f>
        <v>44022</v>
      </c>
      <c r="P396" s="5">
        <f t="shared" si="135"/>
        <v>45117</v>
      </c>
      <c r="Q396" s="1">
        <v>1707</v>
      </c>
      <c r="R396" s="1">
        <v>1200</v>
      </c>
      <c r="S396" s="1">
        <f t="shared" si="136"/>
        <v>1200</v>
      </c>
      <c r="T396" s="1">
        <v>2.5</v>
      </c>
      <c r="U396" s="1" t="str">
        <f t="shared" si="137"/>
        <v>NÃO</v>
      </c>
      <c r="V396" s="1">
        <f t="shared" si="138"/>
        <v>698</v>
      </c>
      <c r="W396" s="4">
        <f t="shared" si="139"/>
        <v>1.7191977077363896</v>
      </c>
      <c r="X396" s="4">
        <f t="shared" si="140"/>
        <v>627.50716332378215</v>
      </c>
      <c r="Y396" s="4">
        <f t="shared" si="141"/>
        <v>0.78438395415472772</v>
      </c>
      <c r="AB396" s="5">
        <f t="shared" si="142"/>
        <v>45292</v>
      </c>
      <c r="AC396" s="5">
        <f t="shared" si="143"/>
        <v>45657</v>
      </c>
      <c r="AE396" s="1">
        <f t="shared" si="144"/>
        <v>0</v>
      </c>
      <c r="AF396" s="1">
        <f t="shared" si="145"/>
        <v>0</v>
      </c>
      <c r="AG396" s="1">
        <f t="shared" si="146"/>
        <v>0</v>
      </c>
      <c r="AH396" s="1">
        <f t="shared" si="147"/>
        <v>0</v>
      </c>
      <c r="AI396" s="1">
        <f t="shared" si="148"/>
        <v>183</v>
      </c>
      <c r="AJ396" s="3">
        <f t="shared" si="149"/>
        <v>0.5</v>
      </c>
      <c r="AK396" s="3">
        <f t="shared" si="150"/>
        <v>0.39219197707736386</v>
      </c>
      <c r="AL396" s="3">
        <f t="shared" si="151"/>
        <v>0</v>
      </c>
      <c r="AM396" s="3">
        <f t="shared" si="152"/>
        <v>0</v>
      </c>
      <c r="AN396" s="3">
        <f t="shared" si="153"/>
        <v>0</v>
      </c>
      <c r="AO396" s="3">
        <f t="shared" si="154"/>
        <v>0</v>
      </c>
      <c r="AP396" s="1" t="str">
        <f>INDEX({"EAD";"EAD";"EAD";"EAD MOOC";"EAD";"EAD";"EAD FP";"EAD";"PRESENCIAL";"PRESENCIAL";"PRESENCIAL";"PRESENCIAL"}, MATCH(CONCATENATE(E396, ".", F396),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97" spans="1:42" x14ac:dyDescent="0.25">
      <c r="A397" s="1" t="s">
        <v>27</v>
      </c>
      <c r="B397" s="1" t="s">
        <v>43</v>
      </c>
      <c r="C397" s="1" t="s">
        <v>29</v>
      </c>
      <c r="D397" s="1" t="s">
        <v>44</v>
      </c>
      <c r="E397" s="1" t="s">
        <v>120</v>
      </c>
      <c r="F397" s="1" t="s">
        <v>21</v>
      </c>
      <c r="G397" s="1" t="s">
        <v>121</v>
      </c>
      <c r="H397" s="1" t="s">
        <v>506</v>
      </c>
      <c r="I397" s="1" t="s">
        <v>209</v>
      </c>
      <c r="J397" s="1" t="s">
        <v>125</v>
      </c>
      <c r="K397" s="1" t="s">
        <v>109</v>
      </c>
      <c r="L397" s="1">
        <v>2523497</v>
      </c>
      <c r="M397" s="1" t="s">
        <v>601</v>
      </c>
      <c r="N397" s="5">
        <f t="shared" si="155"/>
        <v>43325</v>
      </c>
      <c r="O397" s="5">
        <f>DATE(2023,7,14)</f>
        <v>45121</v>
      </c>
      <c r="P397" s="5">
        <f t="shared" si="135"/>
        <v>46216</v>
      </c>
      <c r="Q397" s="1">
        <v>4280</v>
      </c>
      <c r="R397" s="1">
        <v>3200</v>
      </c>
      <c r="S397" s="1">
        <f t="shared" si="136"/>
        <v>3200</v>
      </c>
      <c r="T397" s="1">
        <v>2.5</v>
      </c>
      <c r="U397" s="1" t="str">
        <f t="shared" si="137"/>
        <v>SIM</v>
      </c>
      <c r="V397" s="1">
        <f t="shared" si="138"/>
        <v>1797</v>
      </c>
      <c r="W397" s="4">
        <f t="shared" si="139"/>
        <v>1.7807456872565386</v>
      </c>
      <c r="X397" s="4">
        <f t="shared" si="140"/>
        <v>649.97217584863654</v>
      </c>
      <c r="Y397" s="4">
        <f t="shared" si="141"/>
        <v>0.81246521981079567</v>
      </c>
      <c r="AB397" s="5">
        <f t="shared" si="142"/>
        <v>45292</v>
      </c>
      <c r="AC397" s="5">
        <f t="shared" si="143"/>
        <v>45657</v>
      </c>
      <c r="AD397" s="1">
        <v>17</v>
      </c>
      <c r="AE397" s="1">
        <f t="shared" si="144"/>
        <v>0</v>
      </c>
      <c r="AF397" s="1">
        <f t="shared" si="145"/>
        <v>0</v>
      </c>
      <c r="AG397" s="1">
        <f t="shared" si="146"/>
        <v>0</v>
      </c>
      <c r="AH397" s="1">
        <f t="shared" si="147"/>
        <v>0</v>
      </c>
      <c r="AI397" s="1">
        <f t="shared" si="148"/>
        <v>183</v>
      </c>
      <c r="AJ397" s="3">
        <f t="shared" si="149"/>
        <v>0.5</v>
      </c>
      <c r="AK397" s="3">
        <f t="shared" si="150"/>
        <v>0.40623260990539783</v>
      </c>
      <c r="AL397" s="3">
        <f t="shared" si="151"/>
        <v>3.4529771841958814</v>
      </c>
      <c r="AM397" s="3">
        <f t="shared" si="152"/>
        <v>8.6324429604897031</v>
      </c>
      <c r="AN397" s="3">
        <f t="shared" si="153"/>
        <v>0</v>
      </c>
      <c r="AO397" s="3">
        <f t="shared" si="154"/>
        <v>8.6324429604897031</v>
      </c>
      <c r="AP397" s="1" t="str">
        <f>INDEX({"EAD";"EAD";"EAD";"EAD MOOC";"EAD";"EAD";"EAD FP";"EAD";"PRESENCIAL";"PRESENCIAL";"PRESENCIAL";"PRESENCIAL"}, MATCH(CONCATENATE(E397, ".", F397),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98" spans="1:42" x14ac:dyDescent="0.25">
      <c r="A398" s="1" t="s">
        <v>27</v>
      </c>
      <c r="B398" s="1" t="s">
        <v>43</v>
      </c>
      <c r="C398" s="1" t="s">
        <v>29</v>
      </c>
      <c r="D398" s="1" t="s">
        <v>44</v>
      </c>
      <c r="E398" s="1" t="s">
        <v>120</v>
      </c>
      <c r="F398" s="1" t="s">
        <v>21</v>
      </c>
      <c r="G398" s="1" t="s">
        <v>121</v>
      </c>
      <c r="H398" s="1" t="s">
        <v>508</v>
      </c>
      <c r="I398" s="1" t="s">
        <v>503</v>
      </c>
      <c r="J398" s="1" t="s">
        <v>125</v>
      </c>
      <c r="K398" s="1" t="s">
        <v>109</v>
      </c>
      <c r="L398" s="1">
        <v>2523499</v>
      </c>
      <c r="M398" s="1" t="s">
        <v>602</v>
      </c>
      <c r="N398" s="5">
        <f t="shared" si="155"/>
        <v>43325</v>
      </c>
      <c r="O398" s="5">
        <f>DATE(2023,7,14)</f>
        <v>45121</v>
      </c>
      <c r="P398" s="5">
        <f t="shared" si="135"/>
        <v>46216</v>
      </c>
      <c r="Q398" s="1">
        <v>4430</v>
      </c>
      <c r="R398" s="1">
        <v>3600</v>
      </c>
      <c r="S398" s="1">
        <f t="shared" si="136"/>
        <v>3600</v>
      </c>
      <c r="T398" s="1">
        <v>2.5</v>
      </c>
      <c r="U398" s="1" t="str">
        <f t="shared" si="137"/>
        <v>SIM</v>
      </c>
      <c r="V398" s="1">
        <f t="shared" si="138"/>
        <v>1797</v>
      </c>
      <c r="W398" s="4">
        <f t="shared" si="139"/>
        <v>2.003338898163606</v>
      </c>
      <c r="X398" s="4">
        <f t="shared" si="140"/>
        <v>731.21869782971623</v>
      </c>
      <c r="Y398" s="4">
        <f t="shared" si="141"/>
        <v>0.91402337228714525</v>
      </c>
      <c r="AB398" s="5">
        <f t="shared" si="142"/>
        <v>45292</v>
      </c>
      <c r="AC398" s="5">
        <f t="shared" si="143"/>
        <v>45657</v>
      </c>
      <c r="AD398" s="1">
        <v>8</v>
      </c>
      <c r="AE398" s="1">
        <f t="shared" si="144"/>
        <v>0</v>
      </c>
      <c r="AF398" s="1">
        <f t="shared" si="145"/>
        <v>0</v>
      </c>
      <c r="AG398" s="1">
        <f t="shared" si="146"/>
        <v>0</v>
      </c>
      <c r="AH398" s="1">
        <f t="shared" si="147"/>
        <v>0</v>
      </c>
      <c r="AI398" s="1">
        <f t="shared" si="148"/>
        <v>183</v>
      </c>
      <c r="AJ398" s="3">
        <f t="shared" si="149"/>
        <v>0.5</v>
      </c>
      <c r="AK398" s="3">
        <f t="shared" si="150"/>
        <v>0.45701168614357263</v>
      </c>
      <c r="AL398" s="3">
        <f t="shared" si="151"/>
        <v>1.8280467445742905</v>
      </c>
      <c r="AM398" s="3">
        <f t="shared" si="152"/>
        <v>4.5701168614357259</v>
      </c>
      <c r="AN398" s="3">
        <f t="shared" si="153"/>
        <v>0</v>
      </c>
      <c r="AO398" s="3">
        <f t="shared" si="154"/>
        <v>4.5701168614357259</v>
      </c>
      <c r="AP398" s="1" t="str">
        <f>INDEX({"EAD";"EAD";"EAD";"EAD MOOC";"EAD";"EAD";"EAD FP";"EAD";"PRESENCIAL";"PRESENCIAL";"PRESENCIAL";"PRESENCIAL"}, MATCH(CONCATENATE(E398, ".", F398),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399" spans="1:42" x14ac:dyDescent="0.25">
      <c r="A399" s="1" t="s">
        <v>27</v>
      </c>
      <c r="B399" s="1" t="s">
        <v>43</v>
      </c>
      <c r="C399" s="1" t="s">
        <v>29</v>
      </c>
      <c r="D399" s="1" t="s">
        <v>44</v>
      </c>
      <c r="E399" s="1" t="s">
        <v>120</v>
      </c>
      <c r="F399" s="1" t="s">
        <v>21</v>
      </c>
      <c r="G399" s="1" t="s">
        <v>121</v>
      </c>
      <c r="H399" s="1" t="s">
        <v>495</v>
      </c>
      <c r="I399" s="1" t="s">
        <v>124</v>
      </c>
      <c r="J399" s="1" t="s">
        <v>125</v>
      </c>
      <c r="K399" s="1" t="s">
        <v>109</v>
      </c>
      <c r="L399" s="1">
        <v>2523501</v>
      </c>
      <c r="M399" s="1" t="s">
        <v>603</v>
      </c>
      <c r="N399" s="5">
        <f t="shared" si="155"/>
        <v>43325</v>
      </c>
      <c r="O399" s="5">
        <f>DATE(2021,7,16)</f>
        <v>44393</v>
      </c>
      <c r="P399" s="5">
        <f t="shared" si="135"/>
        <v>45488</v>
      </c>
      <c r="Q399" s="1">
        <v>2587</v>
      </c>
      <c r="R399" s="1">
        <v>2400</v>
      </c>
      <c r="S399" s="1">
        <f t="shared" si="136"/>
        <v>2400</v>
      </c>
      <c r="T399" s="1">
        <v>1</v>
      </c>
      <c r="U399" s="1" t="str">
        <f t="shared" si="137"/>
        <v>SIM</v>
      </c>
      <c r="V399" s="1">
        <f t="shared" si="138"/>
        <v>1069</v>
      </c>
      <c r="W399" s="4">
        <f t="shared" si="139"/>
        <v>2.2450888681010288</v>
      </c>
      <c r="X399" s="4">
        <f t="shared" si="140"/>
        <v>819.45743685687546</v>
      </c>
      <c r="Y399" s="4">
        <f t="shared" si="141"/>
        <v>1.0243217960710944</v>
      </c>
      <c r="AB399" s="5">
        <f t="shared" si="142"/>
        <v>45292</v>
      </c>
      <c r="AC399" s="5">
        <f t="shared" si="143"/>
        <v>45657</v>
      </c>
      <c r="AD399" s="1">
        <v>10</v>
      </c>
      <c r="AE399" s="1">
        <f t="shared" si="144"/>
        <v>0</v>
      </c>
      <c r="AF399" s="1">
        <f t="shared" si="145"/>
        <v>0</v>
      </c>
      <c r="AG399" s="1">
        <f t="shared" si="146"/>
        <v>0</v>
      </c>
      <c r="AH399" s="1">
        <f t="shared" si="147"/>
        <v>0</v>
      </c>
      <c r="AI399" s="1">
        <f t="shared" si="148"/>
        <v>183</v>
      </c>
      <c r="AJ399" s="3">
        <f t="shared" si="149"/>
        <v>0.5</v>
      </c>
      <c r="AK399" s="3">
        <f t="shared" si="150"/>
        <v>0.51216089803554721</v>
      </c>
      <c r="AL399" s="3">
        <f t="shared" si="151"/>
        <v>2.5608044901777358</v>
      </c>
      <c r="AM399" s="3">
        <f t="shared" si="152"/>
        <v>2.5608044901777358</v>
      </c>
      <c r="AN399" s="3">
        <f t="shared" si="153"/>
        <v>0</v>
      </c>
      <c r="AO399" s="3">
        <f t="shared" si="154"/>
        <v>2.5608044901777358</v>
      </c>
      <c r="AP399" s="1" t="str">
        <f>INDEX({"EAD";"EAD";"EAD";"EAD MOOC";"EAD";"EAD";"EAD FP";"EAD";"PRESENCIAL";"PRESENCIAL";"PRESENCIAL";"PRESENCIAL"}, MATCH(CONCATENATE(E399, ".", F399),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00" spans="1:42" x14ac:dyDescent="0.25">
      <c r="A400" s="1" t="s">
        <v>27</v>
      </c>
      <c r="B400" s="1" t="s">
        <v>43</v>
      </c>
      <c r="C400" s="1" t="s">
        <v>29</v>
      </c>
      <c r="D400" s="1" t="s">
        <v>44</v>
      </c>
      <c r="E400" s="1" t="s">
        <v>120</v>
      </c>
      <c r="F400" s="1" t="s">
        <v>21</v>
      </c>
      <c r="G400" s="1" t="s">
        <v>121</v>
      </c>
      <c r="H400" s="1" t="s">
        <v>537</v>
      </c>
      <c r="I400" s="1" t="s">
        <v>187</v>
      </c>
      <c r="J400" s="1" t="s">
        <v>125</v>
      </c>
      <c r="K400" s="1" t="s">
        <v>109</v>
      </c>
      <c r="L400" s="1">
        <v>2523678</v>
      </c>
      <c r="M400" s="1" t="s">
        <v>604</v>
      </c>
      <c r="N400" s="5">
        <f t="shared" si="155"/>
        <v>43325</v>
      </c>
      <c r="O400" s="5">
        <f>DATE(2021,7,16)</f>
        <v>44393</v>
      </c>
      <c r="P400" s="5">
        <f t="shared" si="135"/>
        <v>45488</v>
      </c>
      <c r="Q400" s="1">
        <v>2668</v>
      </c>
      <c r="R400" s="1">
        <v>2400</v>
      </c>
      <c r="S400" s="1">
        <f t="shared" si="136"/>
        <v>2400</v>
      </c>
      <c r="T400" s="1">
        <v>1</v>
      </c>
      <c r="U400" s="1" t="str">
        <f t="shared" si="137"/>
        <v>SIM</v>
      </c>
      <c r="V400" s="1">
        <f t="shared" si="138"/>
        <v>1069</v>
      </c>
      <c r="W400" s="4">
        <f t="shared" si="139"/>
        <v>2.2450888681010288</v>
      </c>
      <c r="X400" s="4">
        <f t="shared" si="140"/>
        <v>819.45743685687546</v>
      </c>
      <c r="Y400" s="4">
        <f t="shared" si="141"/>
        <v>1.0243217960710944</v>
      </c>
      <c r="AB400" s="5">
        <f t="shared" si="142"/>
        <v>45292</v>
      </c>
      <c r="AC400" s="5">
        <f t="shared" si="143"/>
        <v>45657</v>
      </c>
      <c r="AD400" s="1">
        <v>13</v>
      </c>
      <c r="AE400" s="1">
        <f t="shared" si="144"/>
        <v>0</v>
      </c>
      <c r="AF400" s="1">
        <f t="shared" si="145"/>
        <v>0</v>
      </c>
      <c r="AG400" s="1">
        <f t="shared" si="146"/>
        <v>0</v>
      </c>
      <c r="AH400" s="1">
        <f t="shared" si="147"/>
        <v>0</v>
      </c>
      <c r="AI400" s="1">
        <f t="shared" si="148"/>
        <v>183</v>
      </c>
      <c r="AJ400" s="3">
        <f t="shared" si="149"/>
        <v>0.5</v>
      </c>
      <c r="AK400" s="3">
        <f t="shared" si="150"/>
        <v>0.51216089803554721</v>
      </c>
      <c r="AL400" s="3">
        <f t="shared" si="151"/>
        <v>3.3290458372310567</v>
      </c>
      <c r="AM400" s="3">
        <f t="shared" si="152"/>
        <v>3.3290458372310567</v>
      </c>
      <c r="AN400" s="3">
        <f t="shared" si="153"/>
        <v>0</v>
      </c>
      <c r="AO400" s="3">
        <f t="shared" si="154"/>
        <v>3.3290458372310567</v>
      </c>
      <c r="AP400" s="1" t="str">
        <f>INDEX({"EAD";"EAD";"EAD";"EAD MOOC";"EAD";"EAD";"EAD FP";"EAD";"PRESENCIAL";"PRESENCIAL";"PRESENCIAL";"PRESENCIAL"}, MATCH(CONCATENATE(E400, ".", F400),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01" spans="1:42" x14ac:dyDescent="0.25">
      <c r="A401" s="1" t="s">
        <v>27</v>
      </c>
      <c r="B401" s="1" t="s">
        <v>43</v>
      </c>
      <c r="C401" s="1" t="s">
        <v>29</v>
      </c>
      <c r="D401" s="1" t="s">
        <v>44</v>
      </c>
      <c r="E401" s="1" t="s">
        <v>120</v>
      </c>
      <c r="F401" s="1" t="s">
        <v>21</v>
      </c>
      <c r="G401" s="1" t="s">
        <v>140</v>
      </c>
      <c r="H401" s="1" t="s">
        <v>502</v>
      </c>
      <c r="I401" s="1" t="s">
        <v>503</v>
      </c>
      <c r="J401" s="1" t="s">
        <v>125</v>
      </c>
      <c r="K401" s="1" t="s">
        <v>109</v>
      </c>
      <c r="L401" s="1">
        <v>2523682</v>
      </c>
      <c r="M401" s="1" t="s">
        <v>605</v>
      </c>
      <c r="N401" s="5">
        <f t="shared" si="155"/>
        <v>43325</v>
      </c>
      <c r="O401" s="5">
        <f>DATE(2021,12,23)</f>
        <v>44553</v>
      </c>
      <c r="P401" s="5">
        <f t="shared" si="135"/>
        <v>45648</v>
      </c>
      <c r="Q401" s="1">
        <v>2406</v>
      </c>
      <c r="R401" s="1">
        <v>2400</v>
      </c>
      <c r="S401" s="1">
        <f t="shared" si="136"/>
        <v>2400</v>
      </c>
      <c r="T401" s="1">
        <v>2.5</v>
      </c>
      <c r="U401" s="1" t="str">
        <f t="shared" si="137"/>
        <v>SIM</v>
      </c>
      <c r="V401" s="1">
        <f t="shared" si="138"/>
        <v>1229</v>
      </c>
      <c r="W401" s="4">
        <f t="shared" si="139"/>
        <v>1.9528071602929211</v>
      </c>
      <c r="X401" s="4">
        <f t="shared" si="140"/>
        <v>712.77461350691624</v>
      </c>
      <c r="Y401" s="4">
        <f t="shared" si="141"/>
        <v>0.89096826688364528</v>
      </c>
      <c r="AB401" s="5">
        <f t="shared" si="142"/>
        <v>45292</v>
      </c>
      <c r="AC401" s="5">
        <f t="shared" si="143"/>
        <v>45657</v>
      </c>
      <c r="AD401" s="1">
        <v>11</v>
      </c>
      <c r="AE401" s="1">
        <f t="shared" si="144"/>
        <v>0</v>
      </c>
      <c r="AF401" s="1">
        <f t="shared" si="145"/>
        <v>0</v>
      </c>
      <c r="AG401" s="1">
        <f t="shared" si="146"/>
        <v>0</v>
      </c>
      <c r="AH401" s="1">
        <f t="shared" si="147"/>
        <v>0</v>
      </c>
      <c r="AI401" s="1">
        <f t="shared" si="148"/>
        <v>183</v>
      </c>
      <c r="AJ401" s="3">
        <f t="shared" si="149"/>
        <v>0.5</v>
      </c>
      <c r="AK401" s="3">
        <f t="shared" si="150"/>
        <v>0.44548413344182264</v>
      </c>
      <c r="AL401" s="3">
        <f t="shared" si="151"/>
        <v>2.4501627339300245</v>
      </c>
      <c r="AM401" s="3">
        <f t="shared" si="152"/>
        <v>6.1254068348250614</v>
      </c>
      <c r="AN401" s="3">
        <f t="shared" si="153"/>
        <v>0</v>
      </c>
      <c r="AO401" s="3">
        <f t="shared" si="154"/>
        <v>6.1254068348250614</v>
      </c>
      <c r="AP401" s="1" t="str">
        <f>INDEX({"EAD";"EAD";"EAD";"EAD MOOC";"EAD";"EAD";"EAD FP";"EAD";"PRESENCIAL";"PRESENCIAL";"PRESENCIAL";"PRESENCIAL"}, MATCH(CONCATENATE(E401, ".", F401),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02" spans="1:42" x14ac:dyDescent="0.25">
      <c r="A402" s="1" t="s">
        <v>27</v>
      </c>
      <c r="B402" s="1" t="s">
        <v>43</v>
      </c>
      <c r="C402" s="1" t="s">
        <v>29</v>
      </c>
      <c r="D402" s="1" t="s">
        <v>44</v>
      </c>
      <c r="E402" s="1" t="s">
        <v>120</v>
      </c>
      <c r="F402" s="1" t="s">
        <v>21</v>
      </c>
      <c r="G402" s="1" t="s">
        <v>140</v>
      </c>
      <c r="H402" s="1" t="s">
        <v>498</v>
      </c>
      <c r="I402" s="1" t="s">
        <v>289</v>
      </c>
      <c r="J402" s="1" t="s">
        <v>125</v>
      </c>
      <c r="K402" s="1" t="s">
        <v>109</v>
      </c>
      <c r="L402" s="1">
        <v>2523683</v>
      </c>
      <c r="M402" s="1" t="s">
        <v>606</v>
      </c>
      <c r="N402" s="5">
        <f t="shared" si="155"/>
        <v>43325</v>
      </c>
      <c r="O402" s="5">
        <f>DATE(2021,12,23)</f>
        <v>44553</v>
      </c>
      <c r="P402" s="5">
        <f t="shared" si="135"/>
        <v>45648</v>
      </c>
      <c r="Q402" s="1">
        <v>2750</v>
      </c>
      <c r="R402" s="1">
        <v>2400</v>
      </c>
      <c r="S402" s="1">
        <f t="shared" si="136"/>
        <v>2400</v>
      </c>
      <c r="T402" s="1">
        <v>2.5</v>
      </c>
      <c r="U402" s="1" t="str">
        <f t="shared" si="137"/>
        <v>SIM</v>
      </c>
      <c r="V402" s="1">
        <f t="shared" si="138"/>
        <v>1229</v>
      </c>
      <c r="W402" s="4">
        <f t="shared" si="139"/>
        <v>1.9528071602929211</v>
      </c>
      <c r="X402" s="4">
        <f t="shared" si="140"/>
        <v>712.77461350691624</v>
      </c>
      <c r="Y402" s="4">
        <f t="shared" si="141"/>
        <v>0.89096826688364528</v>
      </c>
      <c r="AB402" s="5">
        <f t="shared" si="142"/>
        <v>45292</v>
      </c>
      <c r="AC402" s="5">
        <f t="shared" si="143"/>
        <v>45657</v>
      </c>
      <c r="AD402" s="1">
        <v>3</v>
      </c>
      <c r="AE402" s="1">
        <f t="shared" si="144"/>
        <v>0</v>
      </c>
      <c r="AF402" s="1">
        <f t="shared" si="145"/>
        <v>0</v>
      </c>
      <c r="AG402" s="1">
        <f t="shared" si="146"/>
        <v>0</v>
      </c>
      <c r="AH402" s="1">
        <f t="shared" si="147"/>
        <v>0</v>
      </c>
      <c r="AI402" s="1">
        <f t="shared" si="148"/>
        <v>183</v>
      </c>
      <c r="AJ402" s="3">
        <f t="shared" si="149"/>
        <v>0.5</v>
      </c>
      <c r="AK402" s="3">
        <f t="shared" si="150"/>
        <v>0.44548413344182264</v>
      </c>
      <c r="AL402" s="3">
        <f t="shared" si="151"/>
        <v>0.66822620016273393</v>
      </c>
      <c r="AM402" s="3">
        <f t="shared" si="152"/>
        <v>1.6705655004068349</v>
      </c>
      <c r="AN402" s="3">
        <f t="shared" si="153"/>
        <v>0</v>
      </c>
      <c r="AO402" s="3">
        <f t="shared" si="154"/>
        <v>1.6705655004068349</v>
      </c>
      <c r="AP402" s="1" t="str">
        <f>INDEX({"EAD";"EAD";"EAD";"EAD MOOC";"EAD";"EAD";"EAD FP";"EAD";"PRESENCIAL";"PRESENCIAL";"PRESENCIAL";"PRESENCIAL"}, MATCH(CONCATENATE(E402, ".", F402),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03" spans="1:42" x14ac:dyDescent="0.25">
      <c r="A403" s="1" t="s">
        <v>27</v>
      </c>
      <c r="B403" s="1" t="s">
        <v>43</v>
      </c>
      <c r="C403" s="1" t="s">
        <v>29</v>
      </c>
      <c r="D403" s="1" t="s">
        <v>44</v>
      </c>
      <c r="E403" s="1" t="s">
        <v>120</v>
      </c>
      <c r="F403" s="1" t="s">
        <v>21</v>
      </c>
      <c r="G403" s="1" t="s">
        <v>140</v>
      </c>
      <c r="H403" s="1" t="s">
        <v>529</v>
      </c>
      <c r="I403" s="1" t="s">
        <v>289</v>
      </c>
      <c r="J403" s="1" t="s">
        <v>125</v>
      </c>
      <c r="K403" s="1" t="s">
        <v>109</v>
      </c>
      <c r="L403" s="1">
        <v>2523693</v>
      </c>
      <c r="M403" s="1" t="s">
        <v>607</v>
      </c>
      <c r="N403" s="5">
        <f t="shared" si="155"/>
        <v>43325</v>
      </c>
      <c r="O403" s="5">
        <f>DATE(2021,12,23)</f>
        <v>44553</v>
      </c>
      <c r="P403" s="5">
        <f t="shared" si="135"/>
        <v>45648</v>
      </c>
      <c r="Q403" s="1">
        <v>2642</v>
      </c>
      <c r="R403" s="1">
        <v>2400</v>
      </c>
      <c r="S403" s="1">
        <f t="shared" si="136"/>
        <v>2400</v>
      </c>
      <c r="T403" s="1">
        <v>2.5</v>
      </c>
      <c r="U403" s="1" t="str">
        <f t="shared" si="137"/>
        <v>SIM</v>
      </c>
      <c r="V403" s="1">
        <f t="shared" si="138"/>
        <v>1229</v>
      </c>
      <c r="W403" s="4">
        <f t="shared" si="139"/>
        <v>1.9528071602929211</v>
      </c>
      <c r="X403" s="4">
        <f t="shared" si="140"/>
        <v>712.77461350691624</v>
      </c>
      <c r="Y403" s="4">
        <f t="shared" si="141"/>
        <v>0.89096826688364528</v>
      </c>
      <c r="AB403" s="5">
        <f t="shared" si="142"/>
        <v>45292</v>
      </c>
      <c r="AC403" s="5">
        <f t="shared" si="143"/>
        <v>45657</v>
      </c>
      <c r="AD403" s="1">
        <v>14</v>
      </c>
      <c r="AE403" s="1">
        <f t="shared" si="144"/>
        <v>0</v>
      </c>
      <c r="AF403" s="1">
        <f t="shared" si="145"/>
        <v>0</v>
      </c>
      <c r="AG403" s="1">
        <f t="shared" si="146"/>
        <v>0</v>
      </c>
      <c r="AH403" s="1">
        <f t="shared" si="147"/>
        <v>0</v>
      </c>
      <c r="AI403" s="1">
        <f t="shared" si="148"/>
        <v>183</v>
      </c>
      <c r="AJ403" s="3">
        <f t="shared" si="149"/>
        <v>0.5</v>
      </c>
      <c r="AK403" s="3">
        <f t="shared" si="150"/>
        <v>0.44548413344182264</v>
      </c>
      <c r="AL403" s="3">
        <f t="shared" si="151"/>
        <v>3.1183889340927586</v>
      </c>
      <c r="AM403" s="3">
        <f t="shared" si="152"/>
        <v>7.7959723352318964</v>
      </c>
      <c r="AN403" s="3">
        <f t="shared" si="153"/>
        <v>0</v>
      </c>
      <c r="AO403" s="3">
        <f t="shared" si="154"/>
        <v>7.7959723352318964</v>
      </c>
      <c r="AP403" s="1" t="str">
        <f>INDEX({"EAD";"EAD";"EAD";"EAD MOOC";"EAD";"EAD";"EAD FP";"EAD";"PRESENCIAL";"PRESENCIAL";"PRESENCIAL";"PRESENCIAL"}, MATCH(CONCATENATE(E403, ".", F403),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04" spans="1:42" x14ac:dyDescent="0.25">
      <c r="A404" s="1" t="s">
        <v>27</v>
      </c>
      <c r="B404" s="1" t="s">
        <v>43</v>
      </c>
      <c r="C404" s="1" t="s">
        <v>29</v>
      </c>
      <c r="D404" s="1" t="s">
        <v>44</v>
      </c>
      <c r="E404" s="1" t="s">
        <v>170</v>
      </c>
      <c r="F404" s="1" t="s">
        <v>510</v>
      </c>
      <c r="G404" s="1" t="s">
        <v>278</v>
      </c>
      <c r="H404" s="1" t="s">
        <v>608</v>
      </c>
      <c r="I404" s="1" t="s">
        <v>172</v>
      </c>
      <c r="J404" s="1" t="s">
        <v>125</v>
      </c>
      <c r="K404" s="1" t="s">
        <v>109</v>
      </c>
      <c r="L404" s="1">
        <v>2542968</v>
      </c>
      <c r="M404" s="1" t="s">
        <v>609</v>
      </c>
      <c r="N404" s="5">
        <f>DATE(2018,10,20)</f>
        <v>43393</v>
      </c>
      <c r="O404" s="5">
        <f>DATE(2022,9,17)</f>
        <v>44821</v>
      </c>
      <c r="P404" s="5">
        <f t="shared" si="135"/>
        <v>45916</v>
      </c>
      <c r="Q404" s="1">
        <v>3960</v>
      </c>
      <c r="R404" s="1">
        <v>3200</v>
      </c>
      <c r="S404" s="1">
        <f t="shared" si="136"/>
        <v>3200</v>
      </c>
      <c r="T404" s="1">
        <v>2.5</v>
      </c>
      <c r="U404" s="1" t="str">
        <f t="shared" si="137"/>
        <v>SIM</v>
      </c>
      <c r="V404" s="1">
        <f t="shared" si="138"/>
        <v>1429</v>
      </c>
      <c r="W404" s="4">
        <f t="shared" si="139"/>
        <v>2.2393282015395379</v>
      </c>
      <c r="X404" s="4">
        <f t="shared" si="140"/>
        <v>817.35479356193139</v>
      </c>
      <c r="Y404" s="4">
        <f t="shared" si="141"/>
        <v>1.0216934919524143</v>
      </c>
      <c r="AB404" s="5">
        <f t="shared" si="142"/>
        <v>45292</v>
      </c>
      <c r="AC404" s="5">
        <f t="shared" si="143"/>
        <v>45657</v>
      </c>
      <c r="AD404" s="1">
        <v>13</v>
      </c>
      <c r="AE404" s="1">
        <f t="shared" si="144"/>
        <v>0</v>
      </c>
      <c r="AF404" s="1">
        <f t="shared" si="145"/>
        <v>0</v>
      </c>
      <c r="AG404" s="1">
        <f t="shared" si="146"/>
        <v>0</v>
      </c>
      <c r="AH404" s="1">
        <f t="shared" si="147"/>
        <v>0</v>
      </c>
      <c r="AI404" s="1">
        <f t="shared" si="148"/>
        <v>183</v>
      </c>
      <c r="AJ404" s="3">
        <f t="shared" si="149"/>
        <v>0.5</v>
      </c>
      <c r="AK404" s="3">
        <f t="shared" si="150"/>
        <v>0.51084674597620716</v>
      </c>
      <c r="AL404" s="3">
        <f t="shared" si="151"/>
        <v>3.3205038488453464</v>
      </c>
      <c r="AM404" s="3">
        <f t="shared" si="152"/>
        <v>8.301259622113367</v>
      </c>
      <c r="AN404" s="3">
        <f t="shared" si="153"/>
        <v>0</v>
      </c>
      <c r="AO404" s="3">
        <f t="shared" si="154"/>
        <v>8.301259622113367</v>
      </c>
      <c r="AP404" s="1" t="str">
        <f>INDEX({"EAD";"EAD";"EAD";"EAD MOOC";"EAD";"EAD";"EAD FP";"EAD";"PRESENCIAL";"PRESENCIAL";"PRESENCIAL";"PRESENCIAL"}, MATCH(CONCATENATE(E404, ".", F404),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405" spans="1:42" x14ac:dyDescent="0.25">
      <c r="A405" s="1" t="s">
        <v>27</v>
      </c>
      <c r="B405" s="1" t="s">
        <v>43</v>
      </c>
      <c r="C405" s="1" t="s">
        <v>29</v>
      </c>
      <c r="D405" s="1" t="s">
        <v>44</v>
      </c>
      <c r="E405" s="1" t="s">
        <v>120</v>
      </c>
      <c r="F405" s="1" t="s">
        <v>21</v>
      </c>
      <c r="G405" s="1" t="s">
        <v>128</v>
      </c>
      <c r="H405" s="1" t="s">
        <v>582</v>
      </c>
      <c r="I405" s="1" t="s">
        <v>289</v>
      </c>
      <c r="J405" s="1" t="s">
        <v>125</v>
      </c>
      <c r="K405" s="1" t="s">
        <v>130</v>
      </c>
      <c r="L405" s="1">
        <v>2575516</v>
      </c>
      <c r="M405" s="1" t="s">
        <v>610</v>
      </c>
      <c r="N405" s="5">
        <f t="shared" ref="N405:N423" si="156">DATE(2019,2,4)</f>
        <v>43500</v>
      </c>
      <c r="O405" s="5">
        <f>DATE(2022,12,23)</f>
        <v>44918</v>
      </c>
      <c r="P405" s="5">
        <f t="shared" si="135"/>
        <v>46013</v>
      </c>
      <c r="Q405" s="1">
        <v>3826</v>
      </c>
      <c r="R405" s="1">
        <v>1200</v>
      </c>
      <c r="S405" s="1">
        <f t="shared" si="136"/>
        <v>3200</v>
      </c>
      <c r="T405" s="1">
        <v>2.5</v>
      </c>
      <c r="U405" s="1" t="str">
        <f t="shared" si="137"/>
        <v>SIM</v>
      </c>
      <c r="V405" s="1">
        <f t="shared" si="138"/>
        <v>1419</v>
      </c>
      <c r="W405" s="4">
        <f t="shared" si="139"/>
        <v>2.2551092318534178</v>
      </c>
      <c r="X405" s="4">
        <f t="shared" si="140"/>
        <v>823.11486962649747</v>
      </c>
      <c r="Y405" s="4">
        <f t="shared" si="141"/>
        <v>1.0288935870331217</v>
      </c>
      <c r="AB405" s="5">
        <f t="shared" si="142"/>
        <v>45292</v>
      </c>
      <c r="AC405" s="5">
        <f t="shared" si="143"/>
        <v>45657</v>
      </c>
      <c r="AD405" s="1">
        <v>3</v>
      </c>
      <c r="AE405" s="1">
        <f t="shared" si="144"/>
        <v>0</v>
      </c>
      <c r="AF405" s="1">
        <f t="shared" si="145"/>
        <v>0</v>
      </c>
      <c r="AG405" s="1">
        <f t="shared" si="146"/>
        <v>0</v>
      </c>
      <c r="AH405" s="1">
        <f t="shared" si="147"/>
        <v>0</v>
      </c>
      <c r="AI405" s="1">
        <f t="shared" si="148"/>
        <v>183</v>
      </c>
      <c r="AJ405" s="3">
        <f t="shared" si="149"/>
        <v>0.5</v>
      </c>
      <c r="AK405" s="3">
        <f t="shared" si="150"/>
        <v>0.51444679351656086</v>
      </c>
      <c r="AL405" s="3">
        <f t="shared" si="151"/>
        <v>0.77167019027484129</v>
      </c>
      <c r="AM405" s="3">
        <f t="shared" si="152"/>
        <v>1.9291754756871033</v>
      </c>
      <c r="AN405" s="3">
        <f t="shared" si="153"/>
        <v>0</v>
      </c>
      <c r="AO405" s="3">
        <f t="shared" si="154"/>
        <v>1.9291754756871033</v>
      </c>
      <c r="AP405" s="1" t="str">
        <f>INDEX({"EAD";"EAD";"EAD";"EAD MOOC";"EAD";"EAD";"EAD FP";"EAD";"PRESENCIAL";"PRESENCIAL";"PRESENCIAL";"PRESENCIAL"}, MATCH(CONCATENATE(E405, ".", F405),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06" spans="1:42" x14ac:dyDescent="0.25">
      <c r="A406" s="1" t="s">
        <v>27</v>
      </c>
      <c r="B406" s="1" t="s">
        <v>43</v>
      </c>
      <c r="C406" s="1" t="s">
        <v>29</v>
      </c>
      <c r="D406" s="1" t="s">
        <v>44</v>
      </c>
      <c r="E406" s="1" t="s">
        <v>120</v>
      </c>
      <c r="F406" s="1" t="s">
        <v>21</v>
      </c>
      <c r="G406" s="1" t="s">
        <v>128</v>
      </c>
      <c r="H406" s="1" t="s">
        <v>559</v>
      </c>
      <c r="I406" s="1" t="s">
        <v>289</v>
      </c>
      <c r="J406" s="1" t="s">
        <v>125</v>
      </c>
      <c r="K406" s="1" t="s">
        <v>130</v>
      </c>
      <c r="L406" s="1">
        <v>2575518</v>
      </c>
      <c r="M406" s="1" t="s">
        <v>611</v>
      </c>
      <c r="N406" s="5">
        <f t="shared" si="156"/>
        <v>43500</v>
      </c>
      <c r="O406" s="5">
        <f>DATE(2022,12,23)</f>
        <v>44918</v>
      </c>
      <c r="P406" s="5">
        <f t="shared" si="135"/>
        <v>46013</v>
      </c>
      <c r="Q406" s="1">
        <v>3826</v>
      </c>
      <c r="R406" s="1">
        <v>1200</v>
      </c>
      <c r="S406" s="1">
        <f t="shared" si="136"/>
        <v>3200</v>
      </c>
      <c r="T406" s="1">
        <v>2.5</v>
      </c>
      <c r="U406" s="1" t="str">
        <f t="shared" si="137"/>
        <v>SIM</v>
      </c>
      <c r="V406" s="1">
        <f t="shared" si="138"/>
        <v>1419</v>
      </c>
      <c r="W406" s="4">
        <f t="shared" si="139"/>
        <v>2.2551092318534178</v>
      </c>
      <c r="X406" s="4">
        <f t="shared" si="140"/>
        <v>823.11486962649747</v>
      </c>
      <c r="Y406" s="4">
        <f t="shared" si="141"/>
        <v>1.0288935870331217</v>
      </c>
      <c r="AB406" s="5">
        <f t="shared" si="142"/>
        <v>45292</v>
      </c>
      <c r="AC406" s="5">
        <f t="shared" si="143"/>
        <v>45657</v>
      </c>
      <c r="AD406" s="1">
        <v>8</v>
      </c>
      <c r="AE406" s="1">
        <f t="shared" si="144"/>
        <v>0</v>
      </c>
      <c r="AF406" s="1">
        <f t="shared" si="145"/>
        <v>0</v>
      </c>
      <c r="AG406" s="1">
        <f t="shared" si="146"/>
        <v>0</v>
      </c>
      <c r="AH406" s="1">
        <f t="shared" si="147"/>
        <v>0</v>
      </c>
      <c r="AI406" s="1">
        <f t="shared" si="148"/>
        <v>183</v>
      </c>
      <c r="AJ406" s="3">
        <f t="shared" si="149"/>
        <v>0.5</v>
      </c>
      <c r="AK406" s="3">
        <f t="shared" si="150"/>
        <v>0.51444679351656086</v>
      </c>
      <c r="AL406" s="3">
        <f t="shared" si="151"/>
        <v>2.0577871740662435</v>
      </c>
      <c r="AM406" s="3">
        <f t="shared" si="152"/>
        <v>5.1444679351656086</v>
      </c>
      <c r="AN406" s="3">
        <f t="shared" si="153"/>
        <v>0</v>
      </c>
      <c r="AO406" s="3">
        <f t="shared" si="154"/>
        <v>5.1444679351656086</v>
      </c>
      <c r="AP406" s="1" t="str">
        <f>INDEX({"EAD";"EAD";"EAD";"EAD MOOC";"EAD";"EAD";"EAD FP";"EAD";"PRESENCIAL";"PRESENCIAL";"PRESENCIAL";"PRESENCIAL"}, MATCH(CONCATENATE(E406, ".", F406),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07" spans="1:42" x14ac:dyDescent="0.25">
      <c r="A407" s="1" t="s">
        <v>27</v>
      </c>
      <c r="B407" s="1" t="s">
        <v>43</v>
      </c>
      <c r="C407" s="1" t="s">
        <v>29</v>
      </c>
      <c r="D407" s="1" t="s">
        <v>44</v>
      </c>
      <c r="E407" s="1" t="s">
        <v>120</v>
      </c>
      <c r="F407" s="1" t="s">
        <v>21</v>
      </c>
      <c r="G407" s="1" t="s">
        <v>128</v>
      </c>
      <c r="H407" s="1" t="s">
        <v>612</v>
      </c>
      <c r="I407" s="1" t="s">
        <v>187</v>
      </c>
      <c r="J407" s="1" t="s">
        <v>125</v>
      </c>
      <c r="K407" s="1" t="s">
        <v>130</v>
      </c>
      <c r="L407" s="1">
        <v>2575522</v>
      </c>
      <c r="M407" s="1" t="s">
        <v>613</v>
      </c>
      <c r="N407" s="5">
        <f t="shared" si="156"/>
        <v>43500</v>
      </c>
      <c r="O407" s="5">
        <f>DATE(2021,12,23)</f>
        <v>44553</v>
      </c>
      <c r="P407" s="5">
        <f t="shared" si="135"/>
        <v>45648</v>
      </c>
      <c r="Q407" s="1">
        <v>3306</v>
      </c>
      <c r="R407" s="1">
        <v>800</v>
      </c>
      <c r="S407" s="1">
        <f t="shared" si="136"/>
        <v>3000</v>
      </c>
      <c r="T407" s="1">
        <v>1.5</v>
      </c>
      <c r="U407" s="1" t="str">
        <f t="shared" si="137"/>
        <v>SIM</v>
      </c>
      <c r="V407" s="1">
        <f t="shared" si="138"/>
        <v>1054</v>
      </c>
      <c r="W407" s="4">
        <f t="shared" si="139"/>
        <v>2.8462998102466792</v>
      </c>
      <c r="X407" s="4">
        <f t="shared" si="140"/>
        <v>1038.8994307400378</v>
      </c>
      <c r="Y407" s="4">
        <f t="shared" si="141"/>
        <v>1.2986242884250472</v>
      </c>
      <c r="AB407" s="5">
        <f t="shared" si="142"/>
        <v>45292</v>
      </c>
      <c r="AC407" s="5">
        <f t="shared" si="143"/>
        <v>45657</v>
      </c>
      <c r="AD407" s="1">
        <v>1</v>
      </c>
      <c r="AE407" s="1">
        <f t="shared" si="144"/>
        <v>0</v>
      </c>
      <c r="AF407" s="1">
        <f t="shared" si="145"/>
        <v>0</v>
      </c>
      <c r="AG407" s="1">
        <f t="shared" si="146"/>
        <v>0</v>
      </c>
      <c r="AH407" s="1">
        <f t="shared" si="147"/>
        <v>0</v>
      </c>
      <c r="AI407" s="1">
        <f t="shared" si="148"/>
        <v>183</v>
      </c>
      <c r="AJ407" s="3">
        <f t="shared" si="149"/>
        <v>0.5</v>
      </c>
      <c r="AK407" s="3">
        <f t="shared" si="150"/>
        <v>0.64931214421252359</v>
      </c>
      <c r="AL407" s="3">
        <f t="shared" si="151"/>
        <v>0.32465607210626179</v>
      </c>
      <c r="AM407" s="3">
        <f t="shared" si="152"/>
        <v>0.48698410815939269</v>
      </c>
      <c r="AN407" s="3">
        <f t="shared" si="153"/>
        <v>0</v>
      </c>
      <c r="AO407" s="3">
        <f t="shared" si="154"/>
        <v>0.48698410815939269</v>
      </c>
      <c r="AP407" s="1" t="str">
        <f>INDEX({"EAD";"EAD";"EAD";"EAD MOOC";"EAD";"EAD";"EAD FP";"EAD";"PRESENCIAL";"PRESENCIAL";"PRESENCIAL";"PRESENCIAL"}, MATCH(CONCATENATE(E407, ".", F407),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08" spans="1:42" x14ac:dyDescent="0.25">
      <c r="A408" s="1" t="s">
        <v>27</v>
      </c>
      <c r="B408" s="1" t="s">
        <v>43</v>
      </c>
      <c r="C408" s="1" t="s">
        <v>29</v>
      </c>
      <c r="D408" s="1" t="s">
        <v>44</v>
      </c>
      <c r="E408" s="1" t="s">
        <v>120</v>
      </c>
      <c r="F408" s="1" t="s">
        <v>21</v>
      </c>
      <c r="G408" s="1" t="s">
        <v>128</v>
      </c>
      <c r="H408" s="1" t="s">
        <v>218</v>
      </c>
      <c r="I408" s="1" t="s">
        <v>124</v>
      </c>
      <c r="J408" s="1" t="s">
        <v>125</v>
      </c>
      <c r="K408" s="1" t="s">
        <v>130</v>
      </c>
      <c r="L408" s="1">
        <v>2575525</v>
      </c>
      <c r="M408" s="1" t="s">
        <v>614</v>
      </c>
      <c r="N408" s="5">
        <f t="shared" si="156"/>
        <v>43500</v>
      </c>
      <c r="O408" s="5">
        <f>DATE(2021,12,23)</f>
        <v>44553</v>
      </c>
      <c r="P408" s="5">
        <f t="shared" si="135"/>
        <v>45648</v>
      </c>
      <c r="Q408" s="1">
        <v>3573</v>
      </c>
      <c r="R408" s="1">
        <v>800</v>
      </c>
      <c r="S408" s="1">
        <f t="shared" si="136"/>
        <v>3000</v>
      </c>
      <c r="T408" s="1">
        <v>1.5</v>
      </c>
      <c r="U408" s="1" t="str">
        <f t="shared" si="137"/>
        <v>SIM</v>
      </c>
      <c r="V408" s="1">
        <f t="shared" si="138"/>
        <v>1054</v>
      </c>
      <c r="W408" s="4">
        <f t="shared" si="139"/>
        <v>2.8462998102466792</v>
      </c>
      <c r="X408" s="4">
        <f t="shared" si="140"/>
        <v>1038.8994307400378</v>
      </c>
      <c r="Y408" s="4">
        <f t="shared" si="141"/>
        <v>1.2986242884250472</v>
      </c>
      <c r="AB408" s="5">
        <f t="shared" si="142"/>
        <v>45292</v>
      </c>
      <c r="AC408" s="5">
        <f t="shared" si="143"/>
        <v>45657</v>
      </c>
      <c r="AD408" s="1">
        <v>2</v>
      </c>
      <c r="AE408" s="1">
        <f t="shared" si="144"/>
        <v>0</v>
      </c>
      <c r="AF408" s="1">
        <f t="shared" si="145"/>
        <v>0</v>
      </c>
      <c r="AG408" s="1">
        <f t="shared" si="146"/>
        <v>0</v>
      </c>
      <c r="AH408" s="1">
        <f t="shared" si="147"/>
        <v>0</v>
      </c>
      <c r="AI408" s="1">
        <f t="shared" si="148"/>
        <v>183</v>
      </c>
      <c r="AJ408" s="3">
        <f t="shared" si="149"/>
        <v>0.5</v>
      </c>
      <c r="AK408" s="3">
        <f t="shared" si="150"/>
        <v>0.64931214421252359</v>
      </c>
      <c r="AL408" s="3">
        <f t="shared" si="151"/>
        <v>0.64931214421252359</v>
      </c>
      <c r="AM408" s="3">
        <f t="shared" si="152"/>
        <v>0.97396821631878538</v>
      </c>
      <c r="AN408" s="3">
        <f t="shared" si="153"/>
        <v>0</v>
      </c>
      <c r="AO408" s="3">
        <f t="shared" si="154"/>
        <v>0.97396821631878538</v>
      </c>
      <c r="AP408" s="1" t="str">
        <f>INDEX({"EAD";"EAD";"EAD";"EAD MOOC";"EAD";"EAD";"EAD FP";"EAD";"PRESENCIAL";"PRESENCIAL";"PRESENCIAL";"PRESENCIAL"}, MATCH(CONCATENATE(E408, ".", F408),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09" spans="1:42" x14ac:dyDescent="0.25">
      <c r="A409" s="1" t="s">
        <v>27</v>
      </c>
      <c r="B409" s="1" t="s">
        <v>43</v>
      </c>
      <c r="C409" s="1" t="s">
        <v>29</v>
      </c>
      <c r="D409" s="1" t="s">
        <v>44</v>
      </c>
      <c r="E409" s="1" t="s">
        <v>120</v>
      </c>
      <c r="F409" s="1" t="s">
        <v>21</v>
      </c>
      <c r="G409" s="1" t="s">
        <v>128</v>
      </c>
      <c r="H409" s="1" t="s">
        <v>582</v>
      </c>
      <c r="I409" s="1" t="s">
        <v>289</v>
      </c>
      <c r="J409" s="1" t="s">
        <v>125</v>
      </c>
      <c r="K409" s="1" t="s">
        <v>163</v>
      </c>
      <c r="L409" s="1">
        <v>2575583</v>
      </c>
      <c r="M409" s="1" t="s">
        <v>615</v>
      </c>
      <c r="N409" s="5">
        <f t="shared" si="156"/>
        <v>43500</v>
      </c>
      <c r="O409" s="5">
        <f>DATE(2020,12,23)</f>
        <v>44188</v>
      </c>
      <c r="P409" s="5">
        <f t="shared" si="135"/>
        <v>45283</v>
      </c>
      <c r="Q409" s="1">
        <v>1258</v>
      </c>
      <c r="R409" s="1">
        <v>1200</v>
      </c>
      <c r="S409" s="1">
        <f t="shared" si="136"/>
        <v>1200</v>
      </c>
      <c r="T409" s="1">
        <v>2.5</v>
      </c>
      <c r="U409" s="1" t="str">
        <f t="shared" si="137"/>
        <v>NÃO</v>
      </c>
      <c r="V409" s="1">
        <f t="shared" si="138"/>
        <v>689</v>
      </c>
      <c r="W409" s="4">
        <f t="shared" si="139"/>
        <v>1.741654571843251</v>
      </c>
      <c r="X409" s="4">
        <f t="shared" si="140"/>
        <v>635.70391872278663</v>
      </c>
      <c r="Y409" s="4">
        <f t="shared" si="141"/>
        <v>0.7946298984034833</v>
      </c>
      <c r="AB409" s="5">
        <f t="shared" si="142"/>
        <v>45292</v>
      </c>
      <c r="AC409" s="5">
        <f t="shared" si="143"/>
        <v>45657</v>
      </c>
      <c r="AE409" s="1">
        <f t="shared" si="144"/>
        <v>0</v>
      </c>
      <c r="AF409" s="1">
        <f t="shared" si="145"/>
        <v>0</v>
      </c>
      <c r="AG409" s="1">
        <f t="shared" si="146"/>
        <v>0</v>
      </c>
      <c r="AH409" s="1">
        <f t="shared" si="147"/>
        <v>0</v>
      </c>
      <c r="AI409" s="1">
        <f t="shared" si="148"/>
        <v>183</v>
      </c>
      <c r="AJ409" s="3">
        <f t="shared" si="149"/>
        <v>0.5</v>
      </c>
      <c r="AK409" s="3">
        <f t="shared" si="150"/>
        <v>0.39731494920174165</v>
      </c>
      <c r="AL409" s="3">
        <f t="shared" si="151"/>
        <v>0</v>
      </c>
      <c r="AM409" s="3">
        <f t="shared" si="152"/>
        <v>0</v>
      </c>
      <c r="AN409" s="3">
        <f t="shared" si="153"/>
        <v>0</v>
      </c>
      <c r="AO409" s="3">
        <f t="shared" si="154"/>
        <v>0</v>
      </c>
      <c r="AP409" s="1" t="str">
        <f>INDEX({"EAD";"EAD";"EAD";"EAD MOOC";"EAD";"EAD";"EAD FP";"EAD";"PRESENCIAL";"PRESENCIAL";"PRESENCIAL";"PRESENCIAL"}, MATCH(CONCATENATE(E409, ".", F409),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10" spans="1:42" x14ac:dyDescent="0.25">
      <c r="A410" s="1" t="s">
        <v>27</v>
      </c>
      <c r="B410" s="1" t="s">
        <v>43</v>
      </c>
      <c r="C410" s="1" t="s">
        <v>29</v>
      </c>
      <c r="D410" s="1" t="s">
        <v>44</v>
      </c>
      <c r="E410" s="1" t="s">
        <v>120</v>
      </c>
      <c r="F410" s="1" t="s">
        <v>21</v>
      </c>
      <c r="G410" s="1" t="s">
        <v>128</v>
      </c>
      <c r="H410" s="1" t="s">
        <v>559</v>
      </c>
      <c r="I410" s="1" t="s">
        <v>289</v>
      </c>
      <c r="J410" s="1" t="s">
        <v>125</v>
      </c>
      <c r="K410" s="1" t="s">
        <v>163</v>
      </c>
      <c r="L410" s="1">
        <v>2575586</v>
      </c>
      <c r="M410" s="1" t="s">
        <v>616</v>
      </c>
      <c r="N410" s="5">
        <f t="shared" si="156"/>
        <v>43500</v>
      </c>
      <c r="O410" s="5">
        <f>DATE(2020,12,23)</f>
        <v>44188</v>
      </c>
      <c r="P410" s="5">
        <f t="shared" si="135"/>
        <v>45283</v>
      </c>
      <c r="Q410" s="1">
        <v>1360</v>
      </c>
      <c r="R410" s="1">
        <v>1200</v>
      </c>
      <c r="S410" s="1">
        <f t="shared" si="136"/>
        <v>1200</v>
      </c>
      <c r="T410" s="1">
        <v>2.5</v>
      </c>
      <c r="U410" s="1" t="str">
        <f t="shared" si="137"/>
        <v>NÃO</v>
      </c>
      <c r="V410" s="1">
        <f t="shared" si="138"/>
        <v>689</v>
      </c>
      <c r="W410" s="4">
        <f t="shared" si="139"/>
        <v>1.741654571843251</v>
      </c>
      <c r="X410" s="4">
        <f t="shared" si="140"/>
        <v>635.70391872278663</v>
      </c>
      <c r="Y410" s="4">
        <f t="shared" si="141"/>
        <v>0.7946298984034833</v>
      </c>
      <c r="AB410" s="5">
        <f t="shared" si="142"/>
        <v>45292</v>
      </c>
      <c r="AC410" s="5">
        <f t="shared" si="143"/>
        <v>45657</v>
      </c>
      <c r="AE410" s="1">
        <f t="shared" si="144"/>
        <v>0</v>
      </c>
      <c r="AF410" s="1">
        <f t="shared" si="145"/>
        <v>0</v>
      </c>
      <c r="AG410" s="1">
        <f t="shared" si="146"/>
        <v>0</v>
      </c>
      <c r="AH410" s="1">
        <f t="shared" si="147"/>
        <v>0</v>
      </c>
      <c r="AI410" s="1">
        <f t="shared" si="148"/>
        <v>183</v>
      </c>
      <c r="AJ410" s="3">
        <f t="shared" si="149"/>
        <v>0.5</v>
      </c>
      <c r="AK410" s="3">
        <f t="shared" si="150"/>
        <v>0.39731494920174165</v>
      </c>
      <c r="AL410" s="3">
        <f t="shared" si="151"/>
        <v>0</v>
      </c>
      <c r="AM410" s="3">
        <f t="shared" si="152"/>
        <v>0</v>
      </c>
      <c r="AN410" s="3">
        <f t="shared" si="153"/>
        <v>0</v>
      </c>
      <c r="AO410" s="3">
        <f t="shared" si="154"/>
        <v>0</v>
      </c>
      <c r="AP410" s="1" t="str">
        <f>INDEX({"EAD";"EAD";"EAD";"EAD MOOC";"EAD";"EAD";"EAD FP";"EAD";"PRESENCIAL";"PRESENCIAL";"PRESENCIAL";"PRESENCIAL"}, MATCH(CONCATENATE(E410, ".", F410),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11" spans="1:42" x14ac:dyDescent="0.25">
      <c r="A411" s="1" t="s">
        <v>27</v>
      </c>
      <c r="B411" s="1" t="s">
        <v>43</v>
      </c>
      <c r="C411" s="1" t="s">
        <v>29</v>
      </c>
      <c r="D411" s="1" t="s">
        <v>44</v>
      </c>
      <c r="E411" s="1" t="s">
        <v>120</v>
      </c>
      <c r="F411" s="1" t="s">
        <v>21</v>
      </c>
      <c r="G411" s="1" t="s">
        <v>128</v>
      </c>
      <c r="H411" s="1" t="s">
        <v>586</v>
      </c>
      <c r="I411" s="1" t="s">
        <v>503</v>
      </c>
      <c r="J411" s="1" t="s">
        <v>125</v>
      </c>
      <c r="K411" s="1" t="s">
        <v>163</v>
      </c>
      <c r="L411" s="1">
        <v>2575590</v>
      </c>
      <c r="M411" s="1" t="s">
        <v>617</v>
      </c>
      <c r="N411" s="5">
        <f t="shared" si="156"/>
        <v>43500</v>
      </c>
      <c r="O411" s="5">
        <f>DATE(2020,12,23)</f>
        <v>44188</v>
      </c>
      <c r="P411" s="5">
        <f t="shared" si="135"/>
        <v>45283</v>
      </c>
      <c r="Q411" s="1">
        <v>1703</v>
      </c>
      <c r="R411" s="1">
        <v>1200</v>
      </c>
      <c r="S411" s="1">
        <f t="shared" si="136"/>
        <v>1200</v>
      </c>
      <c r="T411" s="1">
        <v>2.5</v>
      </c>
      <c r="U411" s="1" t="str">
        <f t="shared" si="137"/>
        <v>NÃO</v>
      </c>
      <c r="V411" s="1">
        <f t="shared" si="138"/>
        <v>689</v>
      </c>
      <c r="W411" s="4">
        <f t="shared" si="139"/>
        <v>1.741654571843251</v>
      </c>
      <c r="X411" s="4">
        <f t="shared" si="140"/>
        <v>635.70391872278663</v>
      </c>
      <c r="Y411" s="4">
        <f t="shared" si="141"/>
        <v>0.7946298984034833</v>
      </c>
      <c r="AB411" s="5">
        <f t="shared" si="142"/>
        <v>45292</v>
      </c>
      <c r="AC411" s="5">
        <f t="shared" si="143"/>
        <v>45657</v>
      </c>
      <c r="AE411" s="1">
        <f t="shared" si="144"/>
        <v>0</v>
      </c>
      <c r="AF411" s="1">
        <f t="shared" si="145"/>
        <v>0</v>
      </c>
      <c r="AG411" s="1">
        <f t="shared" si="146"/>
        <v>0</v>
      </c>
      <c r="AH411" s="1">
        <f t="shared" si="147"/>
        <v>0</v>
      </c>
      <c r="AI411" s="1">
        <f t="shared" si="148"/>
        <v>183</v>
      </c>
      <c r="AJ411" s="3">
        <f t="shared" si="149"/>
        <v>0.5</v>
      </c>
      <c r="AK411" s="3">
        <f t="shared" si="150"/>
        <v>0.39731494920174165</v>
      </c>
      <c r="AL411" s="3">
        <f t="shared" si="151"/>
        <v>0</v>
      </c>
      <c r="AM411" s="3">
        <f t="shared" si="152"/>
        <v>0</v>
      </c>
      <c r="AN411" s="3">
        <f t="shared" si="153"/>
        <v>0</v>
      </c>
      <c r="AO411" s="3">
        <f t="shared" si="154"/>
        <v>0</v>
      </c>
      <c r="AP411" s="1" t="str">
        <f>INDEX({"EAD";"EAD";"EAD";"EAD MOOC";"EAD";"EAD";"EAD FP";"EAD";"PRESENCIAL";"PRESENCIAL";"PRESENCIAL";"PRESENCIAL"}, MATCH(CONCATENATE(E411, ".", F411),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12" spans="1:42" x14ac:dyDescent="0.25">
      <c r="A412" s="1" t="s">
        <v>27</v>
      </c>
      <c r="B412" s="1" t="s">
        <v>43</v>
      </c>
      <c r="C412" s="1" t="s">
        <v>29</v>
      </c>
      <c r="D412" s="1" t="s">
        <v>44</v>
      </c>
      <c r="E412" s="1" t="s">
        <v>120</v>
      </c>
      <c r="F412" s="1" t="s">
        <v>21</v>
      </c>
      <c r="G412" s="1" t="s">
        <v>128</v>
      </c>
      <c r="H412" s="1" t="s">
        <v>526</v>
      </c>
      <c r="I412" s="1" t="s">
        <v>503</v>
      </c>
      <c r="J412" s="1" t="s">
        <v>125</v>
      </c>
      <c r="K412" s="1" t="s">
        <v>163</v>
      </c>
      <c r="L412" s="1">
        <v>2575591</v>
      </c>
      <c r="M412" s="1" t="s">
        <v>618</v>
      </c>
      <c r="N412" s="5">
        <f t="shared" si="156"/>
        <v>43500</v>
      </c>
      <c r="O412" s="5">
        <f>DATE(2020,12,23)</f>
        <v>44188</v>
      </c>
      <c r="P412" s="5">
        <f t="shared" si="135"/>
        <v>45283</v>
      </c>
      <c r="Q412" s="1">
        <v>1707</v>
      </c>
      <c r="R412" s="1">
        <v>1200</v>
      </c>
      <c r="S412" s="1">
        <f t="shared" si="136"/>
        <v>1200</v>
      </c>
      <c r="T412" s="1">
        <v>2.5</v>
      </c>
      <c r="U412" s="1" t="str">
        <f t="shared" si="137"/>
        <v>NÃO</v>
      </c>
      <c r="V412" s="1">
        <f t="shared" si="138"/>
        <v>689</v>
      </c>
      <c r="W412" s="4">
        <f t="shared" si="139"/>
        <v>1.741654571843251</v>
      </c>
      <c r="X412" s="4">
        <f t="shared" si="140"/>
        <v>635.70391872278663</v>
      </c>
      <c r="Y412" s="4">
        <f t="shared" si="141"/>
        <v>0.7946298984034833</v>
      </c>
      <c r="AB412" s="5">
        <f t="shared" si="142"/>
        <v>45292</v>
      </c>
      <c r="AC412" s="5">
        <f t="shared" si="143"/>
        <v>45657</v>
      </c>
      <c r="AE412" s="1">
        <f t="shared" si="144"/>
        <v>0</v>
      </c>
      <c r="AF412" s="1">
        <f t="shared" si="145"/>
        <v>0</v>
      </c>
      <c r="AG412" s="1">
        <f t="shared" si="146"/>
        <v>0</v>
      </c>
      <c r="AH412" s="1">
        <f t="shared" si="147"/>
        <v>0</v>
      </c>
      <c r="AI412" s="1">
        <f t="shared" si="148"/>
        <v>183</v>
      </c>
      <c r="AJ412" s="3">
        <f t="shared" si="149"/>
        <v>0.5</v>
      </c>
      <c r="AK412" s="3">
        <f t="shared" si="150"/>
        <v>0.39731494920174165</v>
      </c>
      <c r="AL412" s="3">
        <f t="shared" si="151"/>
        <v>0</v>
      </c>
      <c r="AM412" s="3">
        <f t="shared" si="152"/>
        <v>0</v>
      </c>
      <c r="AN412" s="3">
        <f t="shared" si="153"/>
        <v>0</v>
      </c>
      <c r="AO412" s="3">
        <f t="shared" si="154"/>
        <v>0</v>
      </c>
      <c r="AP412" s="1" t="str">
        <f>INDEX({"EAD";"EAD";"EAD";"EAD MOOC";"EAD";"EAD";"EAD FP";"EAD";"PRESENCIAL";"PRESENCIAL";"PRESENCIAL";"PRESENCIAL"}, MATCH(CONCATENATE(E412, ".", F412),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13" spans="1:42" x14ac:dyDescent="0.25">
      <c r="A413" s="1" t="s">
        <v>27</v>
      </c>
      <c r="B413" s="1" t="s">
        <v>43</v>
      </c>
      <c r="C413" s="1" t="s">
        <v>29</v>
      </c>
      <c r="D413" s="1" t="s">
        <v>44</v>
      </c>
      <c r="E413" s="1" t="s">
        <v>120</v>
      </c>
      <c r="F413" s="1" t="s">
        <v>21</v>
      </c>
      <c r="G413" s="1" t="s">
        <v>121</v>
      </c>
      <c r="H413" s="1" t="s">
        <v>506</v>
      </c>
      <c r="I413" s="1" t="s">
        <v>209</v>
      </c>
      <c r="J413" s="1" t="s">
        <v>125</v>
      </c>
      <c r="K413" s="1" t="s">
        <v>109</v>
      </c>
      <c r="L413" s="1">
        <v>2577104</v>
      </c>
      <c r="M413" s="1" t="s">
        <v>619</v>
      </c>
      <c r="N413" s="5">
        <f t="shared" si="156"/>
        <v>43500</v>
      </c>
      <c r="O413" s="5">
        <f>DATE(2023,12,23)</f>
        <v>45283</v>
      </c>
      <c r="P413" s="5">
        <f t="shared" si="135"/>
        <v>46378</v>
      </c>
      <c r="Q413" s="1">
        <v>4280</v>
      </c>
      <c r="R413" s="1">
        <v>3200</v>
      </c>
      <c r="S413" s="1">
        <f t="shared" si="136"/>
        <v>3200</v>
      </c>
      <c r="T413" s="1">
        <v>2.5</v>
      </c>
      <c r="U413" s="1" t="str">
        <f t="shared" si="137"/>
        <v>SIM</v>
      </c>
      <c r="V413" s="1">
        <f t="shared" si="138"/>
        <v>1784</v>
      </c>
      <c r="W413" s="4">
        <f t="shared" si="139"/>
        <v>1.7937219730941705</v>
      </c>
      <c r="X413" s="4">
        <f t="shared" si="140"/>
        <v>654.70852017937227</v>
      </c>
      <c r="Y413" s="4">
        <f t="shared" si="141"/>
        <v>0.81838565022421539</v>
      </c>
      <c r="AB413" s="5">
        <f t="shared" si="142"/>
        <v>45292</v>
      </c>
      <c r="AC413" s="5">
        <f t="shared" si="143"/>
        <v>45657</v>
      </c>
      <c r="AD413" s="1">
        <v>24</v>
      </c>
      <c r="AE413" s="1">
        <f t="shared" si="144"/>
        <v>0</v>
      </c>
      <c r="AF413" s="1">
        <f t="shared" si="145"/>
        <v>0</v>
      </c>
      <c r="AG413" s="1">
        <f t="shared" si="146"/>
        <v>0</v>
      </c>
      <c r="AH413" s="1">
        <f t="shared" si="147"/>
        <v>0</v>
      </c>
      <c r="AI413" s="1">
        <f t="shared" si="148"/>
        <v>183</v>
      </c>
      <c r="AJ413" s="3">
        <f t="shared" si="149"/>
        <v>0.5</v>
      </c>
      <c r="AK413" s="3">
        <f t="shared" si="150"/>
        <v>0.40919282511210769</v>
      </c>
      <c r="AL413" s="3">
        <f t="shared" si="151"/>
        <v>4.9103139013452921</v>
      </c>
      <c r="AM413" s="3">
        <f t="shared" si="152"/>
        <v>12.275784753363229</v>
      </c>
      <c r="AN413" s="3">
        <f t="shared" si="153"/>
        <v>0</v>
      </c>
      <c r="AO413" s="3">
        <f t="shared" si="154"/>
        <v>12.275784753363229</v>
      </c>
      <c r="AP413" s="1" t="str">
        <f>INDEX({"EAD";"EAD";"EAD";"EAD MOOC";"EAD";"EAD";"EAD FP";"EAD";"PRESENCIAL";"PRESENCIAL";"PRESENCIAL";"PRESENCIAL"}, MATCH(CONCATENATE(E413, ".", F413),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14" spans="1:42" x14ac:dyDescent="0.25">
      <c r="A414" s="1" t="s">
        <v>27</v>
      </c>
      <c r="B414" s="1" t="s">
        <v>43</v>
      </c>
      <c r="C414" s="1" t="s">
        <v>29</v>
      </c>
      <c r="D414" s="1" t="s">
        <v>44</v>
      </c>
      <c r="E414" s="1" t="s">
        <v>120</v>
      </c>
      <c r="F414" s="1" t="s">
        <v>21</v>
      </c>
      <c r="G414" s="1" t="s">
        <v>121</v>
      </c>
      <c r="H414" s="1" t="s">
        <v>508</v>
      </c>
      <c r="I414" s="1" t="s">
        <v>503</v>
      </c>
      <c r="J414" s="1" t="s">
        <v>125</v>
      </c>
      <c r="K414" s="1" t="s">
        <v>109</v>
      </c>
      <c r="L414" s="1">
        <v>2577106</v>
      </c>
      <c r="M414" s="1" t="s">
        <v>620</v>
      </c>
      <c r="N414" s="5">
        <f t="shared" si="156"/>
        <v>43500</v>
      </c>
      <c r="O414" s="5">
        <f>DATE(2023,12,23)</f>
        <v>45283</v>
      </c>
      <c r="P414" s="5">
        <f t="shared" si="135"/>
        <v>46378</v>
      </c>
      <c r="Q414" s="1">
        <v>4430</v>
      </c>
      <c r="R414" s="1">
        <v>3600</v>
      </c>
      <c r="S414" s="1">
        <f t="shared" si="136"/>
        <v>3600</v>
      </c>
      <c r="T414" s="1">
        <v>2.5</v>
      </c>
      <c r="U414" s="1" t="str">
        <f t="shared" si="137"/>
        <v>SIM</v>
      </c>
      <c r="V414" s="1">
        <f t="shared" si="138"/>
        <v>1784</v>
      </c>
      <c r="W414" s="4">
        <f t="shared" si="139"/>
        <v>2.0179372197309418</v>
      </c>
      <c r="X414" s="4">
        <f t="shared" si="140"/>
        <v>736.54708520179372</v>
      </c>
      <c r="Y414" s="4">
        <f t="shared" si="141"/>
        <v>0.92068385650224216</v>
      </c>
      <c r="AB414" s="5">
        <f t="shared" si="142"/>
        <v>45292</v>
      </c>
      <c r="AC414" s="5">
        <f t="shared" si="143"/>
        <v>45657</v>
      </c>
      <c r="AD414" s="1">
        <v>17</v>
      </c>
      <c r="AE414" s="1">
        <f t="shared" si="144"/>
        <v>0</v>
      </c>
      <c r="AF414" s="1">
        <f t="shared" si="145"/>
        <v>0</v>
      </c>
      <c r="AG414" s="1">
        <f t="shared" si="146"/>
        <v>0</v>
      </c>
      <c r="AH414" s="1">
        <f t="shared" si="147"/>
        <v>0</v>
      </c>
      <c r="AI414" s="1">
        <f t="shared" si="148"/>
        <v>183</v>
      </c>
      <c r="AJ414" s="3">
        <f t="shared" si="149"/>
        <v>0.5</v>
      </c>
      <c r="AK414" s="3">
        <f t="shared" si="150"/>
        <v>0.46034192825112108</v>
      </c>
      <c r="AL414" s="3">
        <f t="shared" si="151"/>
        <v>3.9129063901345291</v>
      </c>
      <c r="AM414" s="3">
        <f t="shared" si="152"/>
        <v>9.7822659753363226</v>
      </c>
      <c r="AN414" s="3">
        <f t="shared" si="153"/>
        <v>0</v>
      </c>
      <c r="AO414" s="3">
        <f t="shared" si="154"/>
        <v>9.7822659753363226</v>
      </c>
      <c r="AP414" s="1" t="str">
        <f>INDEX({"EAD";"EAD";"EAD";"EAD MOOC";"EAD";"EAD";"EAD FP";"EAD";"PRESENCIAL";"PRESENCIAL";"PRESENCIAL";"PRESENCIAL"}, MATCH(CONCATENATE(E414, ".", F414),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15" spans="1:42" x14ac:dyDescent="0.25">
      <c r="A415" s="1" t="s">
        <v>27</v>
      </c>
      <c r="B415" s="1" t="s">
        <v>43</v>
      </c>
      <c r="C415" s="1" t="s">
        <v>29</v>
      </c>
      <c r="D415" s="1" t="s">
        <v>44</v>
      </c>
      <c r="E415" s="1" t="s">
        <v>120</v>
      </c>
      <c r="F415" s="1" t="s">
        <v>21</v>
      </c>
      <c r="G415" s="1" t="s">
        <v>121</v>
      </c>
      <c r="H415" s="1" t="s">
        <v>495</v>
      </c>
      <c r="I415" s="1" t="s">
        <v>124</v>
      </c>
      <c r="J415" s="1" t="s">
        <v>125</v>
      </c>
      <c r="K415" s="1" t="s">
        <v>109</v>
      </c>
      <c r="L415" s="1">
        <v>2577112</v>
      </c>
      <c r="M415" s="1" t="s">
        <v>621</v>
      </c>
      <c r="N415" s="5">
        <f t="shared" si="156"/>
        <v>43500</v>
      </c>
      <c r="O415" s="5">
        <f>DATE(2021,12,23)</f>
        <v>44553</v>
      </c>
      <c r="P415" s="5">
        <f t="shared" si="135"/>
        <v>45648</v>
      </c>
      <c r="Q415" s="1">
        <v>2587</v>
      </c>
      <c r="R415" s="1">
        <v>2400</v>
      </c>
      <c r="S415" s="1">
        <f t="shared" si="136"/>
        <v>2400</v>
      </c>
      <c r="T415" s="1">
        <v>1</v>
      </c>
      <c r="U415" s="1" t="str">
        <f t="shared" si="137"/>
        <v>SIM</v>
      </c>
      <c r="V415" s="1">
        <f t="shared" si="138"/>
        <v>1054</v>
      </c>
      <c r="W415" s="4">
        <f t="shared" si="139"/>
        <v>2.2770398481973433</v>
      </c>
      <c r="X415" s="4">
        <f t="shared" si="140"/>
        <v>831.11954459203025</v>
      </c>
      <c r="Y415" s="4">
        <f t="shared" si="141"/>
        <v>1.0388994307400379</v>
      </c>
      <c r="AB415" s="5">
        <f t="shared" si="142"/>
        <v>45292</v>
      </c>
      <c r="AC415" s="5">
        <f t="shared" si="143"/>
        <v>45657</v>
      </c>
      <c r="AD415" s="1">
        <v>15</v>
      </c>
      <c r="AE415" s="1">
        <f t="shared" si="144"/>
        <v>0</v>
      </c>
      <c r="AF415" s="1">
        <f t="shared" si="145"/>
        <v>0</v>
      </c>
      <c r="AG415" s="1">
        <f t="shared" si="146"/>
        <v>0</v>
      </c>
      <c r="AH415" s="1">
        <f t="shared" si="147"/>
        <v>0</v>
      </c>
      <c r="AI415" s="1">
        <f t="shared" si="148"/>
        <v>183</v>
      </c>
      <c r="AJ415" s="3">
        <f t="shared" si="149"/>
        <v>0.5</v>
      </c>
      <c r="AK415" s="3">
        <f t="shared" si="150"/>
        <v>0.51944971537001894</v>
      </c>
      <c r="AL415" s="3">
        <f t="shared" si="151"/>
        <v>3.895872865275142</v>
      </c>
      <c r="AM415" s="3">
        <f t="shared" si="152"/>
        <v>3.895872865275142</v>
      </c>
      <c r="AN415" s="3">
        <f t="shared" si="153"/>
        <v>0</v>
      </c>
      <c r="AO415" s="3">
        <f t="shared" si="154"/>
        <v>3.895872865275142</v>
      </c>
      <c r="AP415" s="1" t="str">
        <f>INDEX({"EAD";"EAD";"EAD";"EAD MOOC";"EAD";"EAD";"EAD FP";"EAD";"PRESENCIAL";"PRESENCIAL";"PRESENCIAL";"PRESENCIAL"}, MATCH(CONCATENATE(E415, ".", F415),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16" spans="1:42" x14ac:dyDescent="0.25">
      <c r="A416" s="1" t="s">
        <v>27</v>
      </c>
      <c r="B416" s="1" t="s">
        <v>43</v>
      </c>
      <c r="C416" s="1" t="s">
        <v>29</v>
      </c>
      <c r="D416" s="1" t="s">
        <v>44</v>
      </c>
      <c r="E416" s="1" t="s">
        <v>120</v>
      </c>
      <c r="F416" s="1" t="s">
        <v>21</v>
      </c>
      <c r="G416" s="1" t="s">
        <v>121</v>
      </c>
      <c r="H416" s="1" t="s">
        <v>537</v>
      </c>
      <c r="I416" s="1" t="s">
        <v>187</v>
      </c>
      <c r="J416" s="1" t="s">
        <v>125</v>
      </c>
      <c r="K416" s="1" t="s">
        <v>109</v>
      </c>
      <c r="L416" s="1">
        <v>2577126</v>
      </c>
      <c r="M416" s="1" t="s">
        <v>622</v>
      </c>
      <c r="N416" s="5">
        <f t="shared" si="156"/>
        <v>43500</v>
      </c>
      <c r="O416" s="5">
        <f>DATE(2021,12,23)</f>
        <v>44553</v>
      </c>
      <c r="P416" s="5">
        <f t="shared" si="135"/>
        <v>45648</v>
      </c>
      <c r="Q416" s="1">
        <v>2668</v>
      </c>
      <c r="R416" s="1">
        <v>2400</v>
      </c>
      <c r="S416" s="1">
        <f t="shared" si="136"/>
        <v>2400</v>
      </c>
      <c r="T416" s="1">
        <v>1</v>
      </c>
      <c r="U416" s="1" t="str">
        <f t="shared" si="137"/>
        <v>SIM</v>
      </c>
      <c r="V416" s="1">
        <f t="shared" si="138"/>
        <v>1054</v>
      </c>
      <c r="W416" s="4">
        <f t="shared" si="139"/>
        <v>2.2770398481973433</v>
      </c>
      <c r="X416" s="4">
        <f t="shared" si="140"/>
        <v>831.11954459203025</v>
      </c>
      <c r="Y416" s="4">
        <f t="shared" si="141"/>
        <v>1.0388994307400379</v>
      </c>
      <c r="AB416" s="5">
        <f t="shared" si="142"/>
        <v>45292</v>
      </c>
      <c r="AC416" s="5">
        <f t="shared" si="143"/>
        <v>45657</v>
      </c>
      <c r="AD416" s="1">
        <v>7</v>
      </c>
      <c r="AE416" s="1">
        <f t="shared" si="144"/>
        <v>0</v>
      </c>
      <c r="AF416" s="1">
        <f t="shared" si="145"/>
        <v>0</v>
      </c>
      <c r="AG416" s="1">
        <f t="shared" si="146"/>
        <v>0</v>
      </c>
      <c r="AH416" s="1">
        <f t="shared" si="147"/>
        <v>0</v>
      </c>
      <c r="AI416" s="1">
        <f t="shared" si="148"/>
        <v>183</v>
      </c>
      <c r="AJ416" s="3">
        <f t="shared" si="149"/>
        <v>0.5</v>
      </c>
      <c r="AK416" s="3">
        <f t="shared" si="150"/>
        <v>0.51944971537001894</v>
      </c>
      <c r="AL416" s="3">
        <f t="shared" si="151"/>
        <v>1.8180740037950662</v>
      </c>
      <c r="AM416" s="3">
        <f t="shared" si="152"/>
        <v>1.8180740037950662</v>
      </c>
      <c r="AN416" s="3">
        <f t="shared" si="153"/>
        <v>0</v>
      </c>
      <c r="AO416" s="3">
        <f t="shared" si="154"/>
        <v>1.8180740037950662</v>
      </c>
      <c r="AP416" s="1" t="str">
        <f>INDEX({"EAD";"EAD";"EAD";"EAD MOOC";"EAD";"EAD";"EAD FP";"EAD";"PRESENCIAL";"PRESENCIAL";"PRESENCIAL";"PRESENCIAL"}, MATCH(CONCATENATE(E416, ".", F416),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17" spans="1:42" x14ac:dyDescent="0.25">
      <c r="A417" s="1" t="s">
        <v>27</v>
      </c>
      <c r="B417" s="1" t="s">
        <v>43</v>
      </c>
      <c r="C417" s="1" t="s">
        <v>29</v>
      </c>
      <c r="D417" s="1" t="s">
        <v>44</v>
      </c>
      <c r="E417" s="1" t="s">
        <v>120</v>
      </c>
      <c r="F417" s="1" t="s">
        <v>21</v>
      </c>
      <c r="G417" s="1" t="s">
        <v>140</v>
      </c>
      <c r="H417" s="1" t="s">
        <v>502</v>
      </c>
      <c r="I417" s="1" t="s">
        <v>503</v>
      </c>
      <c r="J417" s="1" t="s">
        <v>125</v>
      </c>
      <c r="K417" s="1" t="s">
        <v>109</v>
      </c>
      <c r="L417" s="1">
        <v>2577205</v>
      </c>
      <c r="M417" s="1" t="s">
        <v>623</v>
      </c>
      <c r="N417" s="5">
        <f t="shared" si="156"/>
        <v>43500</v>
      </c>
      <c r="O417" s="5">
        <f>DATE(2022,7,30)</f>
        <v>44772</v>
      </c>
      <c r="P417" s="5">
        <f t="shared" si="135"/>
        <v>45867</v>
      </c>
      <c r="Q417" s="1">
        <v>2406</v>
      </c>
      <c r="R417" s="1">
        <v>2400</v>
      </c>
      <c r="S417" s="1">
        <f t="shared" si="136"/>
        <v>2400</v>
      </c>
      <c r="T417" s="1">
        <v>2.5</v>
      </c>
      <c r="U417" s="1" t="str">
        <f t="shared" si="137"/>
        <v>SIM</v>
      </c>
      <c r="V417" s="1">
        <f t="shared" si="138"/>
        <v>1273</v>
      </c>
      <c r="W417" s="4">
        <f t="shared" si="139"/>
        <v>1.8853102906520032</v>
      </c>
      <c r="X417" s="4">
        <f t="shared" si="140"/>
        <v>688.13825608798118</v>
      </c>
      <c r="Y417" s="4">
        <f t="shared" si="141"/>
        <v>0.86017282010997642</v>
      </c>
      <c r="AB417" s="5">
        <f t="shared" si="142"/>
        <v>45292</v>
      </c>
      <c r="AC417" s="5">
        <f t="shared" si="143"/>
        <v>45657</v>
      </c>
      <c r="AD417" s="1">
        <v>9</v>
      </c>
      <c r="AE417" s="1">
        <f t="shared" si="144"/>
        <v>0</v>
      </c>
      <c r="AF417" s="1">
        <f t="shared" si="145"/>
        <v>0</v>
      </c>
      <c r="AG417" s="1">
        <f t="shared" si="146"/>
        <v>0</v>
      </c>
      <c r="AH417" s="1">
        <f t="shared" si="147"/>
        <v>0</v>
      </c>
      <c r="AI417" s="1">
        <f t="shared" si="148"/>
        <v>183</v>
      </c>
      <c r="AJ417" s="3">
        <f t="shared" si="149"/>
        <v>0.5</v>
      </c>
      <c r="AK417" s="3">
        <f t="shared" si="150"/>
        <v>0.43008641005498821</v>
      </c>
      <c r="AL417" s="3">
        <f t="shared" si="151"/>
        <v>1.935388845247447</v>
      </c>
      <c r="AM417" s="3">
        <f t="shared" si="152"/>
        <v>4.8384721131186179</v>
      </c>
      <c r="AN417" s="3">
        <f t="shared" si="153"/>
        <v>0</v>
      </c>
      <c r="AO417" s="3">
        <f t="shared" si="154"/>
        <v>4.8384721131186179</v>
      </c>
      <c r="AP417" s="1" t="str">
        <f>INDEX({"EAD";"EAD";"EAD";"EAD MOOC";"EAD";"EAD";"EAD FP";"EAD";"PRESENCIAL";"PRESENCIAL";"PRESENCIAL";"PRESENCIAL"}, MATCH(CONCATENATE(E417, ".", F417),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18" spans="1:42" x14ac:dyDescent="0.25">
      <c r="A418" s="1" t="s">
        <v>27</v>
      </c>
      <c r="B418" s="1" t="s">
        <v>43</v>
      </c>
      <c r="C418" s="1" t="s">
        <v>29</v>
      </c>
      <c r="D418" s="1" t="s">
        <v>44</v>
      </c>
      <c r="E418" s="1" t="s">
        <v>120</v>
      </c>
      <c r="F418" s="1" t="s">
        <v>21</v>
      </c>
      <c r="G418" s="1" t="s">
        <v>140</v>
      </c>
      <c r="H418" s="1" t="s">
        <v>498</v>
      </c>
      <c r="I418" s="1" t="s">
        <v>289</v>
      </c>
      <c r="J418" s="1" t="s">
        <v>125</v>
      </c>
      <c r="K418" s="1" t="s">
        <v>109</v>
      </c>
      <c r="L418" s="1">
        <v>2577206</v>
      </c>
      <c r="M418" s="1" t="s">
        <v>624</v>
      </c>
      <c r="N418" s="5">
        <f t="shared" si="156"/>
        <v>43500</v>
      </c>
      <c r="O418" s="5">
        <f>DATE(2022,7,30)</f>
        <v>44772</v>
      </c>
      <c r="P418" s="5">
        <f t="shared" si="135"/>
        <v>45867</v>
      </c>
      <c r="Q418" s="1">
        <v>2750</v>
      </c>
      <c r="R418" s="1">
        <v>2400</v>
      </c>
      <c r="S418" s="1">
        <f t="shared" si="136"/>
        <v>2400</v>
      </c>
      <c r="T418" s="1">
        <v>2.5</v>
      </c>
      <c r="U418" s="1" t="str">
        <f t="shared" si="137"/>
        <v>SIM</v>
      </c>
      <c r="V418" s="1">
        <f t="shared" si="138"/>
        <v>1273</v>
      </c>
      <c r="W418" s="4">
        <f t="shared" si="139"/>
        <v>1.8853102906520032</v>
      </c>
      <c r="X418" s="4">
        <f t="shared" si="140"/>
        <v>688.13825608798118</v>
      </c>
      <c r="Y418" s="4">
        <f t="shared" si="141"/>
        <v>0.86017282010997642</v>
      </c>
      <c r="AB418" s="5">
        <f t="shared" si="142"/>
        <v>45292</v>
      </c>
      <c r="AC418" s="5">
        <f t="shared" si="143"/>
        <v>45657</v>
      </c>
      <c r="AD418" s="1">
        <v>5</v>
      </c>
      <c r="AE418" s="1">
        <f t="shared" si="144"/>
        <v>0</v>
      </c>
      <c r="AF418" s="1">
        <f t="shared" si="145"/>
        <v>0</v>
      </c>
      <c r="AG418" s="1">
        <f t="shared" si="146"/>
        <v>0</v>
      </c>
      <c r="AH418" s="1">
        <f t="shared" si="147"/>
        <v>0</v>
      </c>
      <c r="AI418" s="1">
        <f t="shared" si="148"/>
        <v>183</v>
      </c>
      <c r="AJ418" s="3">
        <f t="shared" si="149"/>
        <v>0.5</v>
      </c>
      <c r="AK418" s="3">
        <f t="shared" si="150"/>
        <v>0.43008641005498821</v>
      </c>
      <c r="AL418" s="3">
        <f t="shared" si="151"/>
        <v>1.0752160251374705</v>
      </c>
      <c r="AM418" s="3">
        <f t="shared" si="152"/>
        <v>2.688040062843676</v>
      </c>
      <c r="AN418" s="3">
        <f t="shared" si="153"/>
        <v>0</v>
      </c>
      <c r="AO418" s="3">
        <f t="shared" si="154"/>
        <v>2.688040062843676</v>
      </c>
      <c r="AP418" s="1" t="str">
        <f>INDEX({"EAD";"EAD";"EAD";"EAD MOOC";"EAD";"EAD";"EAD FP";"EAD";"PRESENCIAL";"PRESENCIAL";"PRESENCIAL";"PRESENCIAL"}, MATCH(CONCATENATE(E418, ".", F418),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19" spans="1:42" x14ac:dyDescent="0.25">
      <c r="A419" s="1" t="s">
        <v>27</v>
      </c>
      <c r="B419" s="1" t="s">
        <v>43</v>
      </c>
      <c r="C419" s="1" t="s">
        <v>29</v>
      </c>
      <c r="D419" s="1" t="s">
        <v>44</v>
      </c>
      <c r="E419" s="1" t="s">
        <v>120</v>
      </c>
      <c r="F419" s="1" t="s">
        <v>21</v>
      </c>
      <c r="G419" s="1" t="s">
        <v>140</v>
      </c>
      <c r="H419" s="1" t="s">
        <v>529</v>
      </c>
      <c r="I419" s="1" t="s">
        <v>289</v>
      </c>
      <c r="J419" s="1" t="s">
        <v>125</v>
      </c>
      <c r="K419" s="1" t="s">
        <v>109</v>
      </c>
      <c r="L419" s="1">
        <v>2577208</v>
      </c>
      <c r="M419" s="1" t="s">
        <v>625</v>
      </c>
      <c r="N419" s="5">
        <f t="shared" si="156"/>
        <v>43500</v>
      </c>
      <c r="O419" s="5">
        <f>DATE(2022,7,30)</f>
        <v>44772</v>
      </c>
      <c r="P419" s="5">
        <f t="shared" si="135"/>
        <v>45867</v>
      </c>
      <c r="Q419" s="1">
        <v>2642</v>
      </c>
      <c r="R419" s="1">
        <v>2400</v>
      </c>
      <c r="S419" s="1">
        <f t="shared" si="136"/>
        <v>2400</v>
      </c>
      <c r="T419" s="1">
        <v>2.5</v>
      </c>
      <c r="U419" s="1" t="str">
        <f t="shared" si="137"/>
        <v>SIM</v>
      </c>
      <c r="V419" s="1">
        <f t="shared" si="138"/>
        <v>1273</v>
      </c>
      <c r="W419" s="4">
        <f t="shared" si="139"/>
        <v>1.8853102906520032</v>
      </c>
      <c r="X419" s="4">
        <f t="shared" si="140"/>
        <v>688.13825608798118</v>
      </c>
      <c r="Y419" s="4">
        <f t="shared" si="141"/>
        <v>0.86017282010997642</v>
      </c>
      <c r="AB419" s="5">
        <f t="shared" si="142"/>
        <v>45292</v>
      </c>
      <c r="AC419" s="5">
        <f t="shared" si="143"/>
        <v>45657</v>
      </c>
      <c r="AD419" s="1">
        <v>18</v>
      </c>
      <c r="AE419" s="1">
        <f t="shared" si="144"/>
        <v>0</v>
      </c>
      <c r="AF419" s="1">
        <f t="shared" si="145"/>
        <v>0</v>
      </c>
      <c r="AG419" s="1">
        <f t="shared" si="146"/>
        <v>0</v>
      </c>
      <c r="AH419" s="1">
        <f t="shared" si="147"/>
        <v>0</v>
      </c>
      <c r="AI419" s="1">
        <f t="shared" si="148"/>
        <v>183</v>
      </c>
      <c r="AJ419" s="3">
        <f t="shared" si="149"/>
        <v>0.5</v>
      </c>
      <c r="AK419" s="3">
        <f t="shared" si="150"/>
        <v>0.43008641005498821</v>
      </c>
      <c r="AL419" s="3">
        <f t="shared" si="151"/>
        <v>3.8707776904948941</v>
      </c>
      <c r="AM419" s="3">
        <f t="shared" si="152"/>
        <v>9.6769442262372358</v>
      </c>
      <c r="AN419" s="3">
        <f t="shared" si="153"/>
        <v>0</v>
      </c>
      <c r="AO419" s="3">
        <f t="shared" si="154"/>
        <v>9.6769442262372358</v>
      </c>
      <c r="AP419" s="1" t="str">
        <f>INDEX({"EAD";"EAD";"EAD";"EAD MOOC";"EAD";"EAD";"EAD FP";"EAD";"PRESENCIAL";"PRESENCIAL";"PRESENCIAL";"PRESENCIAL"}, MATCH(CONCATENATE(E419, ".", F419),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20" spans="1:42" x14ac:dyDescent="0.25">
      <c r="A420" s="1" t="s">
        <v>27</v>
      </c>
      <c r="B420" s="1" t="s">
        <v>43</v>
      </c>
      <c r="C420" s="1" t="s">
        <v>29</v>
      </c>
      <c r="D420" s="1" t="s">
        <v>44</v>
      </c>
      <c r="E420" s="1" t="s">
        <v>120</v>
      </c>
      <c r="F420" s="1" t="s">
        <v>21</v>
      </c>
      <c r="G420" s="1" t="s">
        <v>140</v>
      </c>
      <c r="H420" s="1" t="s">
        <v>534</v>
      </c>
      <c r="I420" s="1" t="s">
        <v>289</v>
      </c>
      <c r="J420" s="1" t="s">
        <v>125</v>
      </c>
      <c r="K420" s="1" t="s">
        <v>109</v>
      </c>
      <c r="L420" s="1">
        <v>2577209</v>
      </c>
      <c r="M420" s="1" t="s">
        <v>626</v>
      </c>
      <c r="N420" s="5">
        <f t="shared" si="156"/>
        <v>43500</v>
      </c>
      <c r="O420" s="5">
        <f>DATE(2021,12,23)</f>
        <v>44553</v>
      </c>
      <c r="P420" s="5">
        <f t="shared" si="135"/>
        <v>45648</v>
      </c>
      <c r="Q420" s="1">
        <v>2332</v>
      </c>
      <c r="R420" s="1">
        <v>2400</v>
      </c>
      <c r="S420" s="1">
        <f t="shared" si="136"/>
        <v>2400</v>
      </c>
      <c r="T420" s="1">
        <v>2.5</v>
      </c>
      <c r="U420" s="1" t="str">
        <f t="shared" si="137"/>
        <v>SIM</v>
      </c>
      <c r="V420" s="1">
        <f t="shared" si="138"/>
        <v>1054</v>
      </c>
      <c r="W420" s="4">
        <f t="shared" si="139"/>
        <v>2.2125237191650853</v>
      </c>
      <c r="X420" s="4">
        <f t="shared" si="140"/>
        <v>807.5711574952561</v>
      </c>
      <c r="Y420" s="4">
        <f t="shared" si="141"/>
        <v>1.00946394686907</v>
      </c>
      <c r="AB420" s="5">
        <f t="shared" si="142"/>
        <v>45292</v>
      </c>
      <c r="AC420" s="5">
        <f t="shared" si="143"/>
        <v>45657</v>
      </c>
      <c r="AD420" s="1">
        <v>11</v>
      </c>
      <c r="AE420" s="1">
        <f t="shared" si="144"/>
        <v>0</v>
      </c>
      <c r="AF420" s="1">
        <f t="shared" si="145"/>
        <v>0</v>
      </c>
      <c r="AG420" s="1">
        <f t="shared" si="146"/>
        <v>0</v>
      </c>
      <c r="AH420" s="1">
        <f t="shared" si="147"/>
        <v>0</v>
      </c>
      <c r="AI420" s="1">
        <f t="shared" si="148"/>
        <v>183</v>
      </c>
      <c r="AJ420" s="3">
        <f t="shared" si="149"/>
        <v>0.5</v>
      </c>
      <c r="AK420" s="3">
        <f t="shared" si="150"/>
        <v>0.50473197343453502</v>
      </c>
      <c r="AL420" s="3">
        <f t="shared" si="151"/>
        <v>2.7760258538899425</v>
      </c>
      <c r="AM420" s="3">
        <f t="shared" si="152"/>
        <v>6.9400646347248562</v>
      </c>
      <c r="AN420" s="3">
        <f t="shared" si="153"/>
        <v>0</v>
      </c>
      <c r="AO420" s="3">
        <f t="shared" si="154"/>
        <v>6.9400646347248562</v>
      </c>
      <c r="AP420" s="1" t="str">
        <f>INDEX({"EAD";"EAD";"EAD";"EAD MOOC";"EAD";"EAD";"EAD FP";"EAD";"PRESENCIAL";"PRESENCIAL";"PRESENCIAL";"PRESENCIAL"}, MATCH(CONCATENATE(E420, ".", F420),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21" spans="1:42" x14ac:dyDescent="0.25">
      <c r="A421" s="1" t="s">
        <v>27</v>
      </c>
      <c r="B421" s="1" t="s">
        <v>43</v>
      </c>
      <c r="C421" s="1" t="s">
        <v>29</v>
      </c>
      <c r="D421" s="1" t="s">
        <v>44</v>
      </c>
      <c r="E421" s="1" t="s">
        <v>120</v>
      </c>
      <c r="F421" s="1" t="s">
        <v>21</v>
      </c>
      <c r="G421" s="1" t="s">
        <v>140</v>
      </c>
      <c r="H421" s="1" t="s">
        <v>550</v>
      </c>
      <c r="I421" s="1" t="s">
        <v>209</v>
      </c>
      <c r="J421" s="1" t="s">
        <v>125</v>
      </c>
      <c r="K421" s="1" t="s">
        <v>109</v>
      </c>
      <c r="L421" s="1">
        <v>2577212</v>
      </c>
      <c r="M421" s="1" t="s">
        <v>627</v>
      </c>
      <c r="N421" s="5">
        <f t="shared" si="156"/>
        <v>43500</v>
      </c>
      <c r="O421" s="5">
        <f>DATE(2021,12,23)</f>
        <v>44553</v>
      </c>
      <c r="P421" s="5">
        <f t="shared" si="135"/>
        <v>45648</v>
      </c>
      <c r="Q421" s="1">
        <v>2246</v>
      </c>
      <c r="R421" s="1">
        <v>2000</v>
      </c>
      <c r="S421" s="1">
        <f t="shared" si="136"/>
        <v>2000</v>
      </c>
      <c r="T421" s="1">
        <v>1.5</v>
      </c>
      <c r="U421" s="1" t="str">
        <f t="shared" si="137"/>
        <v>SIM</v>
      </c>
      <c r="V421" s="1">
        <f t="shared" si="138"/>
        <v>1054</v>
      </c>
      <c r="W421" s="4">
        <f t="shared" si="139"/>
        <v>1.8975332068311195</v>
      </c>
      <c r="X421" s="4">
        <f t="shared" si="140"/>
        <v>692.59962049335866</v>
      </c>
      <c r="Y421" s="4">
        <f t="shared" si="141"/>
        <v>0.86574952561669827</v>
      </c>
      <c r="AB421" s="5">
        <f t="shared" si="142"/>
        <v>45292</v>
      </c>
      <c r="AC421" s="5">
        <f t="shared" si="143"/>
        <v>45657</v>
      </c>
      <c r="AD421" s="1">
        <v>14</v>
      </c>
      <c r="AE421" s="1">
        <f t="shared" si="144"/>
        <v>0</v>
      </c>
      <c r="AF421" s="1">
        <f t="shared" si="145"/>
        <v>0</v>
      </c>
      <c r="AG421" s="1">
        <f t="shared" si="146"/>
        <v>0</v>
      </c>
      <c r="AH421" s="1">
        <f t="shared" si="147"/>
        <v>0</v>
      </c>
      <c r="AI421" s="1">
        <f t="shared" si="148"/>
        <v>183</v>
      </c>
      <c r="AJ421" s="3">
        <f t="shared" si="149"/>
        <v>0.5</v>
      </c>
      <c r="AK421" s="3">
        <f t="shared" si="150"/>
        <v>0.43287476280834913</v>
      </c>
      <c r="AL421" s="3">
        <f t="shared" si="151"/>
        <v>3.0301233396584442</v>
      </c>
      <c r="AM421" s="3">
        <f t="shared" si="152"/>
        <v>4.5451850094876658</v>
      </c>
      <c r="AN421" s="3">
        <f t="shared" si="153"/>
        <v>0</v>
      </c>
      <c r="AO421" s="3">
        <f t="shared" si="154"/>
        <v>4.5451850094876658</v>
      </c>
      <c r="AP421" s="1" t="str">
        <f>INDEX({"EAD";"EAD";"EAD";"EAD MOOC";"EAD";"EAD";"EAD FP";"EAD";"PRESENCIAL";"PRESENCIAL";"PRESENCIAL";"PRESENCIAL"}, MATCH(CONCATENATE(E421, ".", F421),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22" spans="1:42" x14ac:dyDescent="0.25">
      <c r="A422" s="1" t="s">
        <v>27</v>
      </c>
      <c r="B422" s="1" t="s">
        <v>43</v>
      </c>
      <c r="C422" s="1" t="s">
        <v>29</v>
      </c>
      <c r="D422" s="1" t="s">
        <v>44</v>
      </c>
      <c r="E422" s="1" t="s">
        <v>120</v>
      </c>
      <c r="F422" s="1" t="s">
        <v>21</v>
      </c>
      <c r="G422" s="1" t="s">
        <v>140</v>
      </c>
      <c r="H422" s="1" t="s">
        <v>500</v>
      </c>
      <c r="I422" s="1" t="s">
        <v>209</v>
      </c>
      <c r="J422" s="1" t="s">
        <v>125</v>
      </c>
      <c r="K422" s="1" t="s">
        <v>109</v>
      </c>
      <c r="L422" s="1">
        <v>2577220</v>
      </c>
      <c r="M422" s="1" t="s">
        <v>628</v>
      </c>
      <c r="N422" s="5">
        <f t="shared" si="156"/>
        <v>43500</v>
      </c>
      <c r="O422" s="5">
        <f>DATE(2021,12,23)</f>
        <v>44553</v>
      </c>
      <c r="P422" s="5">
        <f t="shared" si="135"/>
        <v>45648</v>
      </c>
      <c r="Q422" s="1">
        <v>2324</v>
      </c>
      <c r="R422" s="1">
        <v>2000</v>
      </c>
      <c r="S422" s="1">
        <f t="shared" si="136"/>
        <v>2000</v>
      </c>
      <c r="T422" s="1">
        <v>1</v>
      </c>
      <c r="U422" s="1" t="str">
        <f t="shared" si="137"/>
        <v>SIM</v>
      </c>
      <c r="V422" s="1">
        <f t="shared" si="138"/>
        <v>1054</v>
      </c>
      <c r="W422" s="4">
        <f t="shared" si="139"/>
        <v>1.8975332068311195</v>
      </c>
      <c r="X422" s="4">
        <f t="shared" si="140"/>
        <v>692.59962049335866</v>
      </c>
      <c r="Y422" s="4">
        <f t="shared" si="141"/>
        <v>0.86574952561669827</v>
      </c>
      <c r="AB422" s="5">
        <f t="shared" si="142"/>
        <v>45292</v>
      </c>
      <c r="AC422" s="5">
        <f t="shared" si="143"/>
        <v>45657</v>
      </c>
      <c r="AD422" s="1">
        <v>10</v>
      </c>
      <c r="AE422" s="1">
        <f t="shared" si="144"/>
        <v>0</v>
      </c>
      <c r="AF422" s="1">
        <f t="shared" si="145"/>
        <v>0</v>
      </c>
      <c r="AG422" s="1">
        <f t="shared" si="146"/>
        <v>0</v>
      </c>
      <c r="AH422" s="1">
        <f t="shared" si="147"/>
        <v>0</v>
      </c>
      <c r="AI422" s="1">
        <f t="shared" si="148"/>
        <v>183</v>
      </c>
      <c r="AJ422" s="3">
        <f t="shared" si="149"/>
        <v>0.5</v>
      </c>
      <c r="AK422" s="3">
        <f t="shared" si="150"/>
        <v>0.43287476280834913</v>
      </c>
      <c r="AL422" s="3">
        <f t="shared" si="151"/>
        <v>2.1643738140417454</v>
      </c>
      <c r="AM422" s="3">
        <f t="shared" si="152"/>
        <v>2.1643738140417454</v>
      </c>
      <c r="AN422" s="3">
        <f t="shared" si="153"/>
        <v>0</v>
      </c>
      <c r="AO422" s="3">
        <f t="shared" si="154"/>
        <v>2.1643738140417454</v>
      </c>
      <c r="AP422" s="1" t="str">
        <f>INDEX({"EAD";"EAD";"EAD";"EAD MOOC";"EAD";"EAD";"EAD FP";"EAD";"PRESENCIAL";"PRESENCIAL";"PRESENCIAL";"PRESENCIAL"}, MATCH(CONCATENATE(E422, ".", F422),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23" spans="1:42" x14ac:dyDescent="0.25">
      <c r="A423" s="1" t="s">
        <v>27</v>
      </c>
      <c r="B423" s="1" t="s">
        <v>43</v>
      </c>
      <c r="C423" s="1" t="s">
        <v>29</v>
      </c>
      <c r="D423" s="1" t="s">
        <v>44</v>
      </c>
      <c r="E423" s="1" t="s">
        <v>120</v>
      </c>
      <c r="F423" s="1" t="s">
        <v>21</v>
      </c>
      <c r="G423" s="1" t="s">
        <v>278</v>
      </c>
      <c r="H423" s="1" t="s">
        <v>629</v>
      </c>
      <c r="I423" s="1" t="s">
        <v>172</v>
      </c>
      <c r="J423" s="1" t="s">
        <v>125</v>
      </c>
      <c r="K423" s="1" t="s">
        <v>109</v>
      </c>
      <c r="L423" s="1">
        <v>2578545</v>
      </c>
      <c r="M423" s="1" t="s">
        <v>630</v>
      </c>
      <c r="N423" s="5">
        <f t="shared" si="156"/>
        <v>43500</v>
      </c>
      <c r="O423" s="5">
        <f>DATE(2022,12,23)</f>
        <v>44918</v>
      </c>
      <c r="P423" s="5">
        <f t="shared" si="135"/>
        <v>46013</v>
      </c>
      <c r="Q423" s="1">
        <v>3804</v>
      </c>
      <c r="R423" s="1">
        <v>3200</v>
      </c>
      <c r="S423" s="1">
        <f t="shared" si="136"/>
        <v>3200</v>
      </c>
      <c r="T423" s="1">
        <v>2.5</v>
      </c>
      <c r="U423" s="1" t="str">
        <f t="shared" si="137"/>
        <v>SIM</v>
      </c>
      <c r="V423" s="1">
        <f t="shared" si="138"/>
        <v>1419</v>
      </c>
      <c r="W423" s="4">
        <f t="shared" si="139"/>
        <v>2.2551092318534178</v>
      </c>
      <c r="X423" s="4">
        <f t="shared" si="140"/>
        <v>823.11486962649747</v>
      </c>
      <c r="Y423" s="4">
        <f t="shared" si="141"/>
        <v>1.0288935870331217</v>
      </c>
      <c r="AB423" s="5">
        <f t="shared" si="142"/>
        <v>45292</v>
      </c>
      <c r="AC423" s="5">
        <f t="shared" si="143"/>
        <v>45657</v>
      </c>
      <c r="AD423" s="1">
        <v>6</v>
      </c>
      <c r="AE423" s="1">
        <f t="shared" si="144"/>
        <v>0</v>
      </c>
      <c r="AF423" s="1">
        <f t="shared" si="145"/>
        <v>0</v>
      </c>
      <c r="AG423" s="1">
        <f t="shared" si="146"/>
        <v>0</v>
      </c>
      <c r="AH423" s="1">
        <f t="shared" si="147"/>
        <v>0</v>
      </c>
      <c r="AI423" s="1">
        <f t="shared" si="148"/>
        <v>183</v>
      </c>
      <c r="AJ423" s="3">
        <f t="shared" si="149"/>
        <v>0.5</v>
      </c>
      <c r="AK423" s="3">
        <f t="shared" si="150"/>
        <v>0.51444679351656086</v>
      </c>
      <c r="AL423" s="3">
        <f t="shared" si="151"/>
        <v>1.5433403805496826</v>
      </c>
      <c r="AM423" s="3">
        <f t="shared" si="152"/>
        <v>3.8583509513742067</v>
      </c>
      <c r="AN423" s="3">
        <f t="shared" si="153"/>
        <v>0</v>
      </c>
      <c r="AO423" s="3">
        <f t="shared" si="154"/>
        <v>3.8583509513742067</v>
      </c>
      <c r="AP423" s="1" t="str">
        <f>INDEX({"EAD";"EAD";"EAD";"EAD MOOC";"EAD";"EAD";"EAD FP";"EAD";"PRESENCIAL";"PRESENCIAL";"PRESENCIAL";"PRESENCIAL"}, MATCH(CONCATENATE(E423, ".", F423),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24" spans="1:42" x14ac:dyDescent="0.25">
      <c r="A424" s="1" t="s">
        <v>27</v>
      </c>
      <c r="B424" s="1" t="s">
        <v>43</v>
      </c>
      <c r="C424" s="1" t="s">
        <v>29</v>
      </c>
      <c r="D424" s="1" t="s">
        <v>44</v>
      </c>
      <c r="E424" s="1" t="s">
        <v>120</v>
      </c>
      <c r="F424" s="1" t="s">
        <v>21</v>
      </c>
      <c r="G424" s="1" t="s">
        <v>128</v>
      </c>
      <c r="H424" s="1" t="s">
        <v>582</v>
      </c>
      <c r="I424" s="1" t="s">
        <v>289</v>
      </c>
      <c r="J424" s="1" t="s">
        <v>125</v>
      </c>
      <c r="K424" s="1" t="s">
        <v>163</v>
      </c>
      <c r="L424" s="1">
        <v>2623333</v>
      </c>
      <c r="M424" s="1" t="s">
        <v>631</v>
      </c>
      <c r="N424" s="5">
        <f t="shared" ref="N424:N434" si="157">DATE(2019,7,15)</f>
        <v>43661</v>
      </c>
      <c r="O424" s="5">
        <f>DATE(2021,6,30)</f>
        <v>44377</v>
      </c>
      <c r="P424" s="5">
        <f t="shared" si="135"/>
        <v>45472</v>
      </c>
      <c r="Q424" s="1">
        <v>1258</v>
      </c>
      <c r="R424" s="1">
        <v>1200</v>
      </c>
      <c r="S424" s="1">
        <f t="shared" si="136"/>
        <v>1200</v>
      </c>
      <c r="T424" s="1">
        <v>2.5</v>
      </c>
      <c r="U424" s="1" t="str">
        <f t="shared" si="137"/>
        <v>SIM</v>
      </c>
      <c r="V424" s="1">
        <f t="shared" si="138"/>
        <v>717</v>
      </c>
      <c r="W424" s="4">
        <f t="shared" si="139"/>
        <v>1.6736401673640167</v>
      </c>
      <c r="X424" s="4">
        <f t="shared" si="140"/>
        <v>610.87866108786613</v>
      </c>
      <c r="Y424" s="4">
        <f t="shared" si="141"/>
        <v>0.76359832635983271</v>
      </c>
      <c r="AB424" s="5">
        <f t="shared" si="142"/>
        <v>45292</v>
      </c>
      <c r="AC424" s="5">
        <f t="shared" si="143"/>
        <v>45657</v>
      </c>
      <c r="AD424" s="1">
        <v>10</v>
      </c>
      <c r="AE424" s="1">
        <f t="shared" si="144"/>
        <v>0</v>
      </c>
      <c r="AF424" s="1">
        <f t="shared" si="145"/>
        <v>0</v>
      </c>
      <c r="AG424" s="1">
        <f t="shared" si="146"/>
        <v>0</v>
      </c>
      <c r="AH424" s="1">
        <f t="shared" si="147"/>
        <v>0</v>
      </c>
      <c r="AI424" s="1">
        <f t="shared" si="148"/>
        <v>183</v>
      </c>
      <c r="AJ424" s="3">
        <f t="shared" si="149"/>
        <v>0.5</v>
      </c>
      <c r="AK424" s="3">
        <f t="shared" si="150"/>
        <v>0.38179916317991636</v>
      </c>
      <c r="AL424" s="3">
        <f t="shared" si="151"/>
        <v>1.9089958158995817</v>
      </c>
      <c r="AM424" s="3">
        <f t="shared" si="152"/>
        <v>4.7724895397489542</v>
      </c>
      <c r="AN424" s="3">
        <f t="shared" si="153"/>
        <v>0</v>
      </c>
      <c r="AO424" s="3">
        <f t="shared" si="154"/>
        <v>4.7724895397489542</v>
      </c>
      <c r="AP424" s="1" t="str">
        <f>INDEX({"EAD";"EAD";"EAD";"EAD MOOC";"EAD";"EAD";"EAD FP";"EAD";"PRESENCIAL";"PRESENCIAL";"PRESENCIAL";"PRESENCIAL"}, MATCH(CONCATENATE(E424, ".", F424),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25" spans="1:42" x14ac:dyDescent="0.25">
      <c r="A425" s="1" t="s">
        <v>27</v>
      </c>
      <c r="B425" s="1" t="s">
        <v>43</v>
      </c>
      <c r="C425" s="1" t="s">
        <v>29</v>
      </c>
      <c r="D425" s="1" t="s">
        <v>44</v>
      </c>
      <c r="E425" s="1" t="s">
        <v>120</v>
      </c>
      <c r="F425" s="1" t="s">
        <v>21</v>
      </c>
      <c r="G425" s="1" t="s">
        <v>128</v>
      </c>
      <c r="H425" s="1" t="s">
        <v>526</v>
      </c>
      <c r="I425" s="1" t="s">
        <v>503</v>
      </c>
      <c r="J425" s="1" t="s">
        <v>125</v>
      </c>
      <c r="K425" s="1" t="s">
        <v>163</v>
      </c>
      <c r="L425" s="1">
        <v>2623336</v>
      </c>
      <c r="M425" s="1" t="s">
        <v>632</v>
      </c>
      <c r="N425" s="5">
        <f t="shared" si="157"/>
        <v>43661</v>
      </c>
      <c r="O425" s="5">
        <f>DATE(2021,6,30)</f>
        <v>44377</v>
      </c>
      <c r="P425" s="5">
        <f t="shared" si="135"/>
        <v>45472</v>
      </c>
      <c r="Q425" s="1">
        <v>1707</v>
      </c>
      <c r="R425" s="1">
        <v>1200</v>
      </c>
      <c r="S425" s="1">
        <f t="shared" si="136"/>
        <v>1200</v>
      </c>
      <c r="T425" s="1">
        <v>2.5</v>
      </c>
      <c r="U425" s="1" t="str">
        <f t="shared" si="137"/>
        <v>SIM</v>
      </c>
      <c r="V425" s="1">
        <f t="shared" si="138"/>
        <v>717</v>
      </c>
      <c r="W425" s="4">
        <f t="shared" si="139"/>
        <v>1.6736401673640167</v>
      </c>
      <c r="X425" s="4">
        <f t="shared" si="140"/>
        <v>610.87866108786613</v>
      </c>
      <c r="Y425" s="4">
        <f t="shared" si="141"/>
        <v>0.76359832635983271</v>
      </c>
      <c r="AB425" s="5">
        <f t="shared" si="142"/>
        <v>45292</v>
      </c>
      <c r="AC425" s="5">
        <f t="shared" si="143"/>
        <v>45657</v>
      </c>
      <c r="AD425" s="1">
        <v>3</v>
      </c>
      <c r="AE425" s="1">
        <f t="shared" si="144"/>
        <v>0</v>
      </c>
      <c r="AF425" s="1">
        <f t="shared" si="145"/>
        <v>0</v>
      </c>
      <c r="AG425" s="1">
        <f t="shared" si="146"/>
        <v>0</v>
      </c>
      <c r="AH425" s="1">
        <f t="shared" si="147"/>
        <v>0</v>
      </c>
      <c r="AI425" s="1">
        <f t="shared" si="148"/>
        <v>183</v>
      </c>
      <c r="AJ425" s="3">
        <f t="shared" si="149"/>
        <v>0.5</v>
      </c>
      <c r="AK425" s="3">
        <f t="shared" si="150"/>
        <v>0.38179916317991636</v>
      </c>
      <c r="AL425" s="3">
        <f t="shared" si="151"/>
        <v>0.57269874476987459</v>
      </c>
      <c r="AM425" s="3">
        <f t="shared" si="152"/>
        <v>1.4317468619246865</v>
      </c>
      <c r="AN425" s="3">
        <f t="shared" si="153"/>
        <v>0</v>
      </c>
      <c r="AO425" s="3">
        <f t="shared" si="154"/>
        <v>1.4317468619246865</v>
      </c>
      <c r="AP425" s="1" t="str">
        <f>INDEX({"EAD";"EAD";"EAD";"EAD MOOC";"EAD";"EAD";"EAD FP";"EAD";"PRESENCIAL";"PRESENCIAL";"PRESENCIAL";"PRESENCIAL"}, MATCH(CONCATENATE(E425, ".", F425),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26" spans="1:42" x14ac:dyDescent="0.25">
      <c r="A426" s="1" t="s">
        <v>27</v>
      </c>
      <c r="B426" s="1" t="s">
        <v>43</v>
      </c>
      <c r="C426" s="1" t="s">
        <v>29</v>
      </c>
      <c r="D426" s="1" t="s">
        <v>44</v>
      </c>
      <c r="E426" s="1" t="s">
        <v>120</v>
      </c>
      <c r="F426" s="1" t="s">
        <v>21</v>
      </c>
      <c r="G426" s="1" t="s">
        <v>128</v>
      </c>
      <c r="H426" s="1" t="s">
        <v>586</v>
      </c>
      <c r="I426" s="1" t="s">
        <v>503</v>
      </c>
      <c r="J426" s="1" t="s">
        <v>125</v>
      </c>
      <c r="K426" s="1" t="s">
        <v>163</v>
      </c>
      <c r="L426" s="1">
        <v>2623337</v>
      </c>
      <c r="M426" s="1" t="s">
        <v>633</v>
      </c>
      <c r="N426" s="5">
        <f t="shared" si="157"/>
        <v>43661</v>
      </c>
      <c r="O426" s="5">
        <f>DATE(2021,6,30)</f>
        <v>44377</v>
      </c>
      <c r="P426" s="5">
        <f t="shared" si="135"/>
        <v>45472</v>
      </c>
      <c r="Q426" s="1">
        <v>1703</v>
      </c>
      <c r="R426" s="1">
        <v>1200</v>
      </c>
      <c r="S426" s="1">
        <f t="shared" si="136"/>
        <v>1200</v>
      </c>
      <c r="T426" s="1">
        <v>2.5</v>
      </c>
      <c r="U426" s="1" t="str">
        <f t="shared" si="137"/>
        <v>SIM</v>
      </c>
      <c r="V426" s="1">
        <f t="shared" si="138"/>
        <v>717</v>
      </c>
      <c r="W426" s="4">
        <f t="shared" si="139"/>
        <v>1.6736401673640167</v>
      </c>
      <c r="X426" s="4">
        <f t="shared" si="140"/>
        <v>610.87866108786613</v>
      </c>
      <c r="Y426" s="4">
        <f t="shared" si="141"/>
        <v>0.76359832635983271</v>
      </c>
      <c r="AB426" s="5">
        <f t="shared" si="142"/>
        <v>45292</v>
      </c>
      <c r="AC426" s="5">
        <f t="shared" si="143"/>
        <v>45657</v>
      </c>
      <c r="AD426" s="1">
        <v>3</v>
      </c>
      <c r="AE426" s="1">
        <f t="shared" si="144"/>
        <v>0</v>
      </c>
      <c r="AF426" s="1">
        <f t="shared" si="145"/>
        <v>0</v>
      </c>
      <c r="AG426" s="1">
        <f t="shared" si="146"/>
        <v>0</v>
      </c>
      <c r="AH426" s="1">
        <f t="shared" si="147"/>
        <v>0</v>
      </c>
      <c r="AI426" s="1">
        <f t="shared" si="148"/>
        <v>183</v>
      </c>
      <c r="AJ426" s="3">
        <f t="shared" si="149"/>
        <v>0.5</v>
      </c>
      <c r="AK426" s="3">
        <f t="shared" si="150"/>
        <v>0.38179916317991636</v>
      </c>
      <c r="AL426" s="3">
        <f t="shared" si="151"/>
        <v>0.57269874476987459</v>
      </c>
      <c r="AM426" s="3">
        <f t="shared" si="152"/>
        <v>1.4317468619246865</v>
      </c>
      <c r="AN426" s="3">
        <f t="shared" si="153"/>
        <v>0</v>
      </c>
      <c r="AO426" s="3">
        <f t="shared" si="154"/>
        <v>1.4317468619246865</v>
      </c>
      <c r="AP426" s="1" t="str">
        <f>INDEX({"EAD";"EAD";"EAD";"EAD MOOC";"EAD";"EAD";"EAD FP";"EAD";"PRESENCIAL";"PRESENCIAL";"PRESENCIAL";"PRESENCIAL"}, MATCH(CONCATENATE(E426, ".", F426),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27" spans="1:42" x14ac:dyDescent="0.25">
      <c r="A427" s="1" t="s">
        <v>27</v>
      </c>
      <c r="B427" s="1" t="s">
        <v>43</v>
      </c>
      <c r="C427" s="1" t="s">
        <v>29</v>
      </c>
      <c r="D427" s="1" t="s">
        <v>44</v>
      </c>
      <c r="E427" s="1" t="s">
        <v>120</v>
      </c>
      <c r="F427" s="1" t="s">
        <v>21</v>
      </c>
      <c r="G427" s="1" t="s">
        <v>121</v>
      </c>
      <c r="H427" s="1" t="s">
        <v>506</v>
      </c>
      <c r="I427" s="1" t="s">
        <v>209</v>
      </c>
      <c r="J427" s="1" t="s">
        <v>125</v>
      </c>
      <c r="K427" s="1" t="s">
        <v>109</v>
      </c>
      <c r="L427" s="1">
        <v>2624306</v>
      </c>
      <c r="M427" s="1" t="s">
        <v>634</v>
      </c>
      <c r="N427" s="5">
        <f t="shared" si="157"/>
        <v>43661</v>
      </c>
      <c r="O427" s="5">
        <f>DATE(2024,6,28)</f>
        <v>45471</v>
      </c>
      <c r="P427" s="5">
        <f t="shared" si="135"/>
        <v>46566</v>
      </c>
      <c r="Q427" s="1">
        <v>4280</v>
      </c>
      <c r="R427" s="1">
        <v>3200</v>
      </c>
      <c r="S427" s="1">
        <f t="shared" si="136"/>
        <v>3200</v>
      </c>
      <c r="T427" s="1">
        <v>2.5</v>
      </c>
      <c r="U427" s="1" t="str">
        <f t="shared" si="137"/>
        <v>SIM</v>
      </c>
      <c r="V427" s="1">
        <f t="shared" si="138"/>
        <v>1811</v>
      </c>
      <c r="W427" s="4">
        <f t="shared" si="139"/>
        <v>1.76697956929873</v>
      </c>
      <c r="X427" s="4">
        <f t="shared" si="140"/>
        <v>644.94754279403651</v>
      </c>
      <c r="Y427" s="4">
        <f t="shared" si="141"/>
        <v>0.80618442849254568</v>
      </c>
      <c r="AB427" s="5">
        <f t="shared" si="142"/>
        <v>45292</v>
      </c>
      <c r="AC427" s="5">
        <f t="shared" si="143"/>
        <v>45657</v>
      </c>
      <c r="AD427" s="1">
        <v>19</v>
      </c>
      <c r="AE427" s="1">
        <f t="shared" si="144"/>
        <v>0</v>
      </c>
      <c r="AF427" s="1">
        <f t="shared" si="145"/>
        <v>0</v>
      </c>
      <c r="AG427" s="1">
        <f t="shared" si="146"/>
        <v>180</v>
      </c>
      <c r="AH427" s="1">
        <f t="shared" si="147"/>
        <v>0</v>
      </c>
      <c r="AI427" s="1">
        <f t="shared" si="148"/>
        <v>0</v>
      </c>
      <c r="AJ427" s="3">
        <f t="shared" si="149"/>
        <v>0.49180327868852458</v>
      </c>
      <c r="AK427" s="3">
        <f t="shared" si="150"/>
        <v>0.39648414516026836</v>
      </c>
      <c r="AL427" s="3">
        <f t="shared" si="151"/>
        <v>7.5331987580450992</v>
      </c>
      <c r="AM427" s="3">
        <f t="shared" si="152"/>
        <v>18.83299689511275</v>
      </c>
      <c r="AN427" s="3">
        <f t="shared" si="153"/>
        <v>0</v>
      </c>
      <c r="AO427" s="3">
        <f t="shared" si="154"/>
        <v>18.83299689511275</v>
      </c>
      <c r="AP427" s="1" t="str">
        <f>INDEX({"EAD";"EAD";"EAD";"EAD MOOC";"EAD";"EAD";"EAD FP";"EAD";"PRESENCIAL";"PRESENCIAL";"PRESENCIAL";"PRESENCIAL"}, MATCH(CONCATENATE(E427, ".", F427),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28" spans="1:42" x14ac:dyDescent="0.25">
      <c r="A428" s="1" t="s">
        <v>27</v>
      </c>
      <c r="B428" s="1" t="s">
        <v>43</v>
      </c>
      <c r="C428" s="1" t="s">
        <v>29</v>
      </c>
      <c r="D428" s="1" t="s">
        <v>44</v>
      </c>
      <c r="E428" s="1" t="s">
        <v>120</v>
      </c>
      <c r="F428" s="1" t="s">
        <v>21</v>
      </c>
      <c r="G428" s="1" t="s">
        <v>121</v>
      </c>
      <c r="H428" s="1" t="s">
        <v>508</v>
      </c>
      <c r="I428" s="1" t="s">
        <v>503</v>
      </c>
      <c r="J428" s="1" t="s">
        <v>125</v>
      </c>
      <c r="K428" s="1" t="s">
        <v>109</v>
      </c>
      <c r="L428" s="1">
        <v>2624307</v>
      </c>
      <c r="M428" s="1" t="s">
        <v>635</v>
      </c>
      <c r="N428" s="5">
        <f t="shared" si="157"/>
        <v>43661</v>
      </c>
      <c r="O428" s="5">
        <f>DATE(2024,6,28)</f>
        <v>45471</v>
      </c>
      <c r="P428" s="5">
        <f t="shared" si="135"/>
        <v>46566</v>
      </c>
      <c r="Q428" s="1">
        <v>4430</v>
      </c>
      <c r="R428" s="1">
        <v>3600</v>
      </c>
      <c r="S428" s="1">
        <f t="shared" si="136"/>
        <v>3600</v>
      </c>
      <c r="T428" s="1">
        <v>2.5</v>
      </c>
      <c r="U428" s="1" t="str">
        <f t="shared" si="137"/>
        <v>SIM</v>
      </c>
      <c r="V428" s="1">
        <f t="shared" si="138"/>
        <v>1811</v>
      </c>
      <c r="W428" s="4">
        <f t="shared" si="139"/>
        <v>1.9878520154610713</v>
      </c>
      <c r="X428" s="4">
        <f t="shared" si="140"/>
        <v>725.56598564329101</v>
      </c>
      <c r="Y428" s="4">
        <f t="shared" si="141"/>
        <v>0.90695748205411375</v>
      </c>
      <c r="AB428" s="5">
        <f t="shared" si="142"/>
        <v>45292</v>
      </c>
      <c r="AC428" s="5">
        <f t="shared" si="143"/>
        <v>45657</v>
      </c>
      <c r="AD428" s="1">
        <v>13</v>
      </c>
      <c r="AE428" s="1">
        <f t="shared" si="144"/>
        <v>0</v>
      </c>
      <c r="AF428" s="1">
        <f t="shared" si="145"/>
        <v>0</v>
      </c>
      <c r="AG428" s="1">
        <f t="shared" si="146"/>
        <v>180</v>
      </c>
      <c r="AH428" s="1">
        <f t="shared" si="147"/>
        <v>0</v>
      </c>
      <c r="AI428" s="1">
        <f t="shared" si="148"/>
        <v>0</v>
      </c>
      <c r="AJ428" s="3">
        <f t="shared" si="149"/>
        <v>0.49180327868852458</v>
      </c>
      <c r="AK428" s="3">
        <f t="shared" si="150"/>
        <v>0.44604466330530185</v>
      </c>
      <c r="AL428" s="3">
        <f t="shared" si="151"/>
        <v>5.7985806229689238</v>
      </c>
      <c r="AM428" s="3">
        <f t="shared" si="152"/>
        <v>14.49645155742231</v>
      </c>
      <c r="AN428" s="3">
        <f t="shared" si="153"/>
        <v>0</v>
      </c>
      <c r="AO428" s="3">
        <f t="shared" si="154"/>
        <v>14.49645155742231</v>
      </c>
      <c r="AP428" s="1" t="str">
        <f>INDEX({"EAD";"EAD";"EAD";"EAD MOOC";"EAD";"EAD";"EAD FP";"EAD";"PRESENCIAL";"PRESENCIAL";"PRESENCIAL";"PRESENCIAL"}, MATCH(CONCATENATE(E428, ".", F428),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29" spans="1:42" x14ac:dyDescent="0.25">
      <c r="A429" s="1" t="s">
        <v>27</v>
      </c>
      <c r="B429" s="1" t="s">
        <v>43</v>
      </c>
      <c r="C429" s="1" t="s">
        <v>29</v>
      </c>
      <c r="D429" s="1" t="s">
        <v>44</v>
      </c>
      <c r="E429" s="1" t="s">
        <v>120</v>
      </c>
      <c r="F429" s="1" t="s">
        <v>21</v>
      </c>
      <c r="G429" s="1" t="s">
        <v>121</v>
      </c>
      <c r="H429" s="1" t="s">
        <v>495</v>
      </c>
      <c r="I429" s="1" t="s">
        <v>124</v>
      </c>
      <c r="J429" s="1" t="s">
        <v>125</v>
      </c>
      <c r="K429" s="1" t="s">
        <v>109</v>
      </c>
      <c r="L429" s="1">
        <v>2624308</v>
      </c>
      <c r="M429" s="1" t="s">
        <v>636</v>
      </c>
      <c r="N429" s="5">
        <f t="shared" si="157"/>
        <v>43661</v>
      </c>
      <c r="O429" s="5">
        <f>DATE(2022,6,30)</f>
        <v>44742</v>
      </c>
      <c r="P429" s="5">
        <f t="shared" si="135"/>
        <v>45837</v>
      </c>
      <c r="Q429" s="1">
        <v>2587</v>
      </c>
      <c r="R429" s="1">
        <v>2400</v>
      </c>
      <c r="S429" s="1">
        <f t="shared" si="136"/>
        <v>2400</v>
      </c>
      <c r="T429" s="1">
        <v>1</v>
      </c>
      <c r="U429" s="1" t="str">
        <f t="shared" si="137"/>
        <v>SIM</v>
      </c>
      <c r="V429" s="1">
        <f t="shared" si="138"/>
        <v>1082</v>
      </c>
      <c r="W429" s="4">
        <f t="shared" si="139"/>
        <v>2.2181146025878005</v>
      </c>
      <c r="X429" s="4">
        <f t="shared" si="140"/>
        <v>809.61182994454714</v>
      </c>
      <c r="Y429" s="4">
        <f t="shared" si="141"/>
        <v>1.012014787430684</v>
      </c>
      <c r="AB429" s="5">
        <f t="shared" si="142"/>
        <v>45292</v>
      </c>
      <c r="AC429" s="5">
        <f t="shared" si="143"/>
        <v>45657</v>
      </c>
      <c r="AD429" s="1">
        <v>21</v>
      </c>
      <c r="AE429" s="1">
        <f t="shared" si="144"/>
        <v>0</v>
      </c>
      <c r="AF429" s="1">
        <f t="shared" si="145"/>
        <v>0</v>
      </c>
      <c r="AG429" s="1">
        <f t="shared" si="146"/>
        <v>0</v>
      </c>
      <c r="AH429" s="1">
        <f t="shared" si="147"/>
        <v>0</v>
      </c>
      <c r="AI429" s="1">
        <f t="shared" si="148"/>
        <v>183</v>
      </c>
      <c r="AJ429" s="3">
        <f t="shared" si="149"/>
        <v>0.5</v>
      </c>
      <c r="AK429" s="3">
        <f t="shared" si="150"/>
        <v>0.50600739371534198</v>
      </c>
      <c r="AL429" s="3">
        <f t="shared" si="151"/>
        <v>5.3130776340110906</v>
      </c>
      <c r="AM429" s="3">
        <f t="shared" si="152"/>
        <v>5.3130776340110906</v>
      </c>
      <c r="AN429" s="3">
        <f t="shared" si="153"/>
        <v>0</v>
      </c>
      <c r="AO429" s="3">
        <f t="shared" si="154"/>
        <v>5.3130776340110906</v>
      </c>
      <c r="AP429" s="1" t="str">
        <f>INDEX({"EAD";"EAD";"EAD";"EAD MOOC";"EAD";"EAD";"EAD FP";"EAD";"PRESENCIAL";"PRESENCIAL";"PRESENCIAL";"PRESENCIAL"}, MATCH(CONCATENATE(E429, ".", F429),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30" spans="1:42" x14ac:dyDescent="0.25">
      <c r="A430" s="1" t="s">
        <v>27</v>
      </c>
      <c r="B430" s="1" t="s">
        <v>43</v>
      </c>
      <c r="C430" s="1" t="s">
        <v>29</v>
      </c>
      <c r="D430" s="1" t="s">
        <v>44</v>
      </c>
      <c r="E430" s="1" t="s">
        <v>120</v>
      </c>
      <c r="F430" s="1" t="s">
        <v>21</v>
      </c>
      <c r="G430" s="1" t="s">
        <v>121</v>
      </c>
      <c r="H430" s="1" t="s">
        <v>537</v>
      </c>
      <c r="I430" s="1" t="s">
        <v>187</v>
      </c>
      <c r="J430" s="1" t="s">
        <v>125</v>
      </c>
      <c r="K430" s="1" t="s">
        <v>109</v>
      </c>
      <c r="L430" s="1">
        <v>2624309</v>
      </c>
      <c r="M430" s="1" t="s">
        <v>637</v>
      </c>
      <c r="N430" s="5">
        <f t="shared" si="157"/>
        <v>43661</v>
      </c>
      <c r="O430" s="5">
        <f>DATE(2022,6,30)</f>
        <v>44742</v>
      </c>
      <c r="P430" s="5">
        <f t="shared" si="135"/>
        <v>45837</v>
      </c>
      <c r="Q430" s="1">
        <v>2668</v>
      </c>
      <c r="R430" s="1">
        <v>2400</v>
      </c>
      <c r="S430" s="1">
        <f t="shared" si="136"/>
        <v>2400</v>
      </c>
      <c r="T430" s="1">
        <v>1</v>
      </c>
      <c r="U430" s="1" t="str">
        <f t="shared" si="137"/>
        <v>SIM</v>
      </c>
      <c r="V430" s="1">
        <f t="shared" si="138"/>
        <v>1082</v>
      </c>
      <c r="W430" s="4">
        <f t="shared" si="139"/>
        <v>2.2181146025878005</v>
      </c>
      <c r="X430" s="4">
        <f t="shared" si="140"/>
        <v>809.61182994454714</v>
      </c>
      <c r="Y430" s="4">
        <f t="shared" si="141"/>
        <v>1.012014787430684</v>
      </c>
      <c r="AB430" s="5">
        <f t="shared" si="142"/>
        <v>45292</v>
      </c>
      <c r="AC430" s="5">
        <f t="shared" si="143"/>
        <v>45657</v>
      </c>
      <c r="AD430" s="1">
        <v>24</v>
      </c>
      <c r="AE430" s="1">
        <f t="shared" si="144"/>
        <v>0</v>
      </c>
      <c r="AF430" s="1">
        <f t="shared" si="145"/>
        <v>0</v>
      </c>
      <c r="AG430" s="1">
        <f t="shared" si="146"/>
        <v>0</v>
      </c>
      <c r="AH430" s="1">
        <f t="shared" si="147"/>
        <v>0</v>
      </c>
      <c r="AI430" s="1">
        <f t="shared" si="148"/>
        <v>183</v>
      </c>
      <c r="AJ430" s="3">
        <f t="shared" si="149"/>
        <v>0.5</v>
      </c>
      <c r="AK430" s="3">
        <f t="shared" si="150"/>
        <v>0.50600739371534198</v>
      </c>
      <c r="AL430" s="3">
        <f t="shared" si="151"/>
        <v>6.0720887245841038</v>
      </c>
      <c r="AM430" s="3">
        <f t="shared" si="152"/>
        <v>6.0720887245841038</v>
      </c>
      <c r="AN430" s="3">
        <f t="shared" si="153"/>
        <v>0</v>
      </c>
      <c r="AO430" s="3">
        <f t="shared" si="154"/>
        <v>6.0720887245841038</v>
      </c>
      <c r="AP430" s="1" t="str">
        <f>INDEX({"EAD";"EAD";"EAD";"EAD MOOC";"EAD";"EAD";"EAD FP";"EAD";"PRESENCIAL";"PRESENCIAL";"PRESENCIAL";"PRESENCIAL"}, MATCH(CONCATENATE(E430, ".", F430),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31" spans="1:42" x14ac:dyDescent="0.25">
      <c r="A431" s="1" t="s">
        <v>27</v>
      </c>
      <c r="B431" s="1" t="s">
        <v>43</v>
      </c>
      <c r="C431" s="1" t="s">
        <v>29</v>
      </c>
      <c r="D431" s="1" t="s">
        <v>44</v>
      </c>
      <c r="E431" s="1" t="s">
        <v>120</v>
      </c>
      <c r="F431" s="1" t="s">
        <v>21</v>
      </c>
      <c r="G431" s="1" t="s">
        <v>140</v>
      </c>
      <c r="H431" s="1" t="s">
        <v>498</v>
      </c>
      <c r="I431" s="1" t="s">
        <v>289</v>
      </c>
      <c r="J431" s="1" t="s">
        <v>125</v>
      </c>
      <c r="K431" s="1" t="s">
        <v>109</v>
      </c>
      <c r="L431" s="1">
        <v>2624310</v>
      </c>
      <c r="M431" s="1" t="s">
        <v>638</v>
      </c>
      <c r="N431" s="5">
        <f t="shared" si="157"/>
        <v>43661</v>
      </c>
      <c r="O431" s="5">
        <f>DATE(2022,12,23)</f>
        <v>44918</v>
      </c>
      <c r="P431" s="5">
        <f t="shared" si="135"/>
        <v>46013</v>
      </c>
      <c r="Q431" s="1">
        <v>2750</v>
      </c>
      <c r="R431" s="1">
        <v>2400</v>
      </c>
      <c r="S431" s="1">
        <f t="shared" si="136"/>
        <v>2400</v>
      </c>
      <c r="T431" s="1">
        <v>2.5</v>
      </c>
      <c r="U431" s="1" t="str">
        <f t="shared" si="137"/>
        <v>SIM</v>
      </c>
      <c r="V431" s="1">
        <f t="shared" si="138"/>
        <v>1258</v>
      </c>
      <c r="W431" s="4">
        <f t="shared" si="139"/>
        <v>1.9077901430842608</v>
      </c>
      <c r="X431" s="4">
        <f t="shared" si="140"/>
        <v>696.3434022257552</v>
      </c>
      <c r="Y431" s="4">
        <f t="shared" si="141"/>
        <v>0.87042925278219396</v>
      </c>
      <c r="AB431" s="5">
        <f t="shared" si="142"/>
        <v>45292</v>
      </c>
      <c r="AC431" s="5">
        <f t="shared" si="143"/>
        <v>45657</v>
      </c>
      <c r="AD431" s="1">
        <v>4</v>
      </c>
      <c r="AE431" s="1">
        <f t="shared" si="144"/>
        <v>0</v>
      </c>
      <c r="AF431" s="1">
        <f t="shared" si="145"/>
        <v>0</v>
      </c>
      <c r="AG431" s="1">
        <f t="shared" si="146"/>
        <v>0</v>
      </c>
      <c r="AH431" s="1">
        <f t="shared" si="147"/>
        <v>0</v>
      </c>
      <c r="AI431" s="1">
        <f t="shared" si="148"/>
        <v>183</v>
      </c>
      <c r="AJ431" s="3">
        <f t="shared" si="149"/>
        <v>0.5</v>
      </c>
      <c r="AK431" s="3">
        <f t="shared" si="150"/>
        <v>0.43521462639109698</v>
      </c>
      <c r="AL431" s="3">
        <f t="shared" si="151"/>
        <v>0.87042925278219396</v>
      </c>
      <c r="AM431" s="3">
        <f t="shared" si="152"/>
        <v>2.1760731319554849</v>
      </c>
      <c r="AN431" s="3">
        <f t="shared" si="153"/>
        <v>0</v>
      </c>
      <c r="AO431" s="3">
        <f t="shared" si="154"/>
        <v>2.1760731319554849</v>
      </c>
      <c r="AP431" s="1" t="str">
        <f>INDEX({"EAD";"EAD";"EAD";"EAD MOOC";"EAD";"EAD";"EAD FP";"EAD";"PRESENCIAL";"PRESENCIAL";"PRESENCIAL";"PRESENCIAL"}, MATCH(CONCATENATE(E431, ".", F431),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32" spans="1:42" x14ac:dyDescent="0.25">
      <c r="A432" s="1" t="s">
        <v>27</v>
      </c>
      <c r="B432" s="1" t="s">
        <v>43</v>
      </c>
      <c r="C432" s="1" t="s">
        <v>29</v>
      </c>
      <c r="D432" s="1" t="s">
        <v>44</v>
      </c>
      <c r="E432" s="1" t="s">
        <v>120</v>
      </c>
      <c r="F432" s="1" t="s">
        <v>21</v>
      </c>
      <c r="G432" s="1" t="s">
        <v>140</v>
      </c>
      <c r="H432" s="1" t="s">
        <v>529</v>
      </c>
      <c r="I432" s="1" t="s">
        <v>289</v>
      </c>
      <c r="J432" s="1" t="s">
        <v>125</v>
      </c>
      <c r="K432" s="1" t="s">
        <v>109</v>
      </c>
      <c r="L432" s="1">
        <v>2624311</v>
      </c>
      <c r="M432" s="1" t="s">
        <v>639</v>
      </c>
      <c r="N432" s="5">
        <f t="shared" si="157"/>
        <v>43661</v>
      </c>
      <c r="O432" s="5">
        <f>DATE(2022,12,23)</f>
        <v>44918</v>
      </c>
      <c r="P432" s="5">
        <f t="shared" si="135"/>
        <v>46013</v>
      </c>
      <c r="Q432" s="1">
        <v>2642</v>
      </c>
      <c r="R432" s="1">
        <v>2400</v>
      </c>
      <c r="S432" s="1">
        <f t="shared" si="136"/>
        <v>2400</v>
      </c>
      <c r="T432" s="1">
        <v>2.5</v>
      </c>
      <c r="U432" s="1" t="str">
        <f t="shared" si="137"/>
        <v>SIM</v>
      </c>
      <c r="V432" s="1">
        <f t="shared" si="138"/>
        <v>1258</v>
      </c>
      <c r="W432" s="4">
        <f t="shared" si="139"/>
        <v>1.9077901430842608</v>
      </c>
      <c r="X432" s="4">
        <f t="shared" si="140"/>
        <v>696.3434022257552</v>
      </c>
      <c r="Y432" s="4">
        <f t="shared" si="141"/>
        <v>0.87042925278219396</v>
      </c>
      <c r="AB432" s="5">
        <f t="shared" si="142"/>
        <v>45292</v>
      </c>
      <c r="AC432" s="5">
        <f t="shared" si="143"/>
        <v>45657</v>
      </c>
      <c r="AD432" s="1">
        <v>15</v>
      </c>
      <c r="AE432" s="1">
        <f t="shared" si="144"/>
        <v>0</v>
      </c>
      <c r="AF432" s="1">
        <f t="shared" si="145"/>
        <v>0</v>
      </c>
      <c r="AG432" s="1">
        <f t="shared" si="146"/>
        <v>0</v>
      </c>
      <c r="AH432" s="1">
        <f t="shared" si="147"/>
        <v>0</v>
      </c>
      <c r="AI432" s="1">
        <f t="shared" si="148"/>
        <v>183</v>
      </c>
      <c r="AJ432" s="3">
        <f t="shared" si="149"/>
        <v>0.5</v>
      </c>
      <c r="AK432" s="3">
        <f t="shared" si="150"/>
        <v>0.43521462639109698</v>
      </c>
      <c r="AL432" s="3">
        <f t="shared" si="151"/>
        <v>3.2641096979332271</v>
      </c>
      <c r="AM432" s="3">
        <f t="shared" si="152"/>
        <v>8.1602742448330687</v>
      </c>
      <c r="AN432" s="3">
        <f t="shared" si="153"/>
        <v>0</v>
      </c>
      <c r="AO432" s="3">
        <f t="shared" si="154"/>
        <v>8.1602742448330687</v>
      </c>
      <c r="AP432" s="1" t="str">
        <f>INDEX({"EAD";"EAD";"EAD";"EAD MOOC";"EAD";"EAD";"EAD FP";"EAD";"PRESENCIAL";"PRESENCIAL";"PRESENCIAL";"PRESENCIAL"}, MATCH(CONCATENATE(E432, ".", F432),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33" spans="1:42" x14ac:dyDescent="0.25">
      <c r="A433" s="1" t="s">
        <v>27</v>
      </c>
      <c r="B433" s="1" t="s">
        <v>43</v>
      </c>
      <c r="C433" s="1" t="s">
        <v>29</v>
      </c>
      <c r="D433" s="1" t="s">
        <v>44</v>
      </c>
      <c r="E433" s="1" t="s">
        <v>120</v>
      </c>
      <c r="F433" s="1" t="s">
        <v>21</v>
      </c>
      <c r="G433" s="1" t="s">
        <v>140</v>
      </c>
      <c r="H433" s="1" t="s">
        <v>534</v>
      </c>
      <c r="I433" s="1" t="s">
        <v>289</v>
      </c>
      <c r="J433" s="1" t="s">
        <v>125</v>
      </c>
      <c r="K433" s="1" t="s">
        <v>109</v>
      </c>
      <c r="L433" s="1">
        <v>2624312</v>
      </c>
      <c r="M433" s="1" t="s">
        <v>640</v>
      </c>
      <c r="N433" s="5">
        <f t="shared" si="157"/>
        <v>43661</v>
      </c>
      <c r="O433" s="5">
        <f>DATE(2022,6,30)</f>
        <v>44742</v>
      </c>
      <c r="P433" s="5">
        <f t="shared" si="135"/>
        <v>45837</v>
      </c>
      <c r="Q433" s="1">
        <v>2548</v>
      </c>
      <c r="R433" s="1">
        <v>2400</v>
      </c>
      <c r="S433" s="1">
        <f t="shared" si="136"/>
        <v>2400</v>
      </c>
      <c r="T433" s="1">
        <v>2.5</v>
      </c>
      <c r="U433" s="1" t="str">
        <f t="shared" si="137"/>
        <v>SIM</v>
      </c>
      <c r="V433" s="1">
        <f t="shared" si="138"/>
        <v>1082</v>
      </c>
      <c r="W433" s="4">
        <f t="shared" si="139"/>
        <v>2.2181146025878005</v>
      </c>
      <c r="X433" s="4">
        <f t="shared" si="140"/>
        <v>809.61182994454714</v>
      </c>
      <c r="Y433" s="4">
        <f t="shared" si="141"/>
        <v>1.012014787430684</v>
      </c>
      <c r="AB433" s="5">
        <f t="shared" si="142"/>
        <v>45292</v>
      </c>
      <c r="AC433" s="5">
        <f t="shared" si="143"/>
        <v>45657</v>
      </c>
      <c r="AD433" s="1">
        <v>5</v>
      </c>
      <c r="AE433" s="1">
        <f t="shared" si="144"/>
        <v>0</v>
      </c>
      <c r="AF433" s="1">
        <f t="shared" si="145"/>
        <v>0</v>
      </c>
      <c r="AG433" s="1">
        <f t="shared" si="146"/>
        <v>0</v>
      </c>
      <c r="AH433" s="1">
        <f t="shared" si="147"/>
        <v>0</v>
      </c>
      <c r="AI433" s="1">
        <f t="shared" si="148"/>
        <v>183</v>
      </c>
      <c r="AJ433" s="3">
        <f t="shared" si="149"/>
        <v>0.5</v>
      </c>
      <c r="AK433" s="3">
        <f t="shared" si="150"/>
        <v>0.50600739371534198</v>
      </c>
      <c r="AL433" s="3">
        <f t="shared" si="151"/>
        <v>1.2650184842883549</v>
      </c>
      <c r="AM433" s="3">
        <f t="shared" si="152"/>
        <v>3.1625462107208873</v>
      </c>
      <c r="AN433" s="3">
        <f t="shared" si="153"/>
        <v>0</v>
      </c>
      <c r="AO433" s="3">
        <f t="shared" si="154"/>
        <v>3.1625462107208873</v>
      </c>
      <c r="AP433" s="1" t="str">
        <f>INDEX({"EAD";"EAD";"EAD";"EAD MOOC";"EAD";"EAD";"EAD FP";"EAD";"PRESENCIAL";"PRESENCIAL";"PRESENCIAL";"PRESENCIAL"}, MATCH(CONCATENATE(E433, ".", F433),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34" spans="1:42" x14ac:dyDescent="0.25">
      <c r="A434" s="1" t="s">
        <v>27</v>
      </c>
      <c r="B434" s="1" t="s">
        <v>43</v>
      </c>
      <c r="C434" s="1" t="s">
        <v>29</v>
      </c>
      <c r="D434" s="1" t="s">
        <v>44</v>
      </c>
      <c r="E434" s="1" t="s">
        <v>120</v>
      </c>
      <c r="F434" s="1" t="s">
        <v>21</v>
      </c>
      <c r="G434" s="1" t="s">
        <v>140</v>
      </c>
      <c r="H434" s="1" t="s">
        <v>550</v>
      </c>
      <c r="I434" s="1" t="s">
        <v>209</v>
      </c>
      <c r="J434" s="1" t="s">
        <v>125</v>
      </c>
      <c r="K434" s="1" t="s">
        <v>109</v>
      </c>
      <c r="L434" s="1">
        <v>2624313</v>
      </c>
      <c r="M434" s="1" t="s">
        <v>641</v>
      </c>
      <c r="N434" s="5">
        <f t="shared" si="157"/>
        <v>43661</v>
      </c>
      <c r="O434" s="5">
        <f>DATE(2022,6,30)</f>
        <v>44742</v>
      </c>
      <c r="P434" s="5">
        <f t="shared" si="135"/>
        <v>45837</v>
      </c>
      <c r="Q434" s="1">
        <v>2062</v>
      </c>
      <c r="R434" s="1">
        <v>2000</v>
      </c>
      <c r="S434" s="1">
        <f t="shared" si="136"/>
        <v>2000</v>
      </c>
      <c r="T434" s="1">
        <v>1.5</v>
      </c>
      <c r="U434" s="1" t="str">
        <f t="shared" si="137"/>
        <v>SIM</v>
      </c>
      <c r="V434" s="1">
        <f t="shared" si="138"/>
        <v>1082</v>
      </c>
      <c r="W434" s="4">
        <f t="shared" si="139"/>
        <v>1.8484288354898337</v>
      </c>
      <c r="X434" s="4">
        <f t="shared" si="140"/>
        <v>674.67652495378934</v>
      </c>
      <c r="Y434" s="4">
        <f t="shared" si="141"/>
        <v>0.84334565619223667</v>
      </c>
      <c r="AB434" s="5">
        <f t="shared" si="142"/>
        <v>45292</v>
      </c>
      <c r="AC434" s="5">
        <f t="shared" si="143"/>
        <v>45657</v>
      </c>
      <c r="AD434" s="1">
        <v>9</v>
      </c>
      <c r="AE434" s="1">
        <f t="shared" si="144"/>
        <v>0</v>
      </c>
      <c r="AF434" s="1">
        <f t="shared" si="145"/>
        <v>0</v>
      </c>
      <c r="AG434" s="1">
        <f t="shared" si="146"/>
        <v>0</v>
      </c>
      <c r="AH434" s="1">
        <f t="shared" si="147"/>
        <v>0</v>
      </c>
      <c r="AI434" s="1">
        <f t="shared" si="148"/>
        <v>183</v>
      </c>
      <c r="AJ434" s="3">
        <f t="shared" si="149"/>
        <v>0.5</v>
      </c>
      <c r="AK434" s="3">
        <f t="shared" si="150"/>
        <v>0.42167282809611834</v>
      </c>
      <c r="AL434" s="3">
        <f t="shared" si="151"/>
        <v>1.8975277264325325</v>
      </c>
      <c r="AM434" s="3">
        <f t="shared" si="152"/>
        <v>2.846291589648799</v>
      </c>
      <c r="AN434" s="3">
        <f t="shared" si="153"/>
        <v>0</v>
      </c>
      <c r="AO434" s="3">
        <f t="shared" si="154"/>
        <v>2.846291589648799</v>
      </c>
      <c r="AP434" s="1" t="str">
        <f>INDEX({"EAD";"EAD";"EAD";"EAD MOOC";"EAD";"EAD";"EAD FP";"EAD";"PRESENCIAL";"PRESENCIAL";"PRESENCIAL";"PRESENCIAL"}, MATCH(CONCATENATE(E434, ".", F434),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35" spans="1:42" x14ac:dyDescent="0.25">
      <c r="A435" s="1" t="s">
        <v>27</v>
      </c>
      <c r="B435" s="1" t="s">
        <v>43</v>
      </c>
      <c r="C435" s="1" t="s">
        <v>29</v>
      </c>
      <c r="D435" s="1" t="s">
        <v>44</v>
      </c>
      <c r="E435" s="1" t="s">
        <v>170</v>
      </c>
      <c r="F435" s="1" t="s">
        <v>510</v>
      </c>
      <c r="G435" s="1" t="s">
        <v>140</v>
      </c>
      <c r="H435" s="1" t="s">
        <v>500</v>
      </c>
      <c r="I435" s="1" t="s">
        <v>209</v>
      </c>
      <c r="J435" s="1" t="s">
        <v>125</v>
      </c>
      <c r="K435" s="1" t="s">
        <v>109</v>
      </c>
      <c r="L435" s="1">
        <v>2624772</v>
      </c>
      <c r="M435" s="1" t="s">
        <v>642</v>
      </c>
      <c r="N435" s="5">
        <f>DATE(2019,7,25)</f>
        <v>43671</v>
      </c>
      <c r="O435" s="5">
        <f>DATE(2022,7,30)</f>
        <v>44772</v>
      </c>
      <c r="P435" s="5">
        <f t="shared" si="135"/>
        <v>45867</v>
      </c>
      <c r="Q435" s="1">
        <v>2340</v>
      </c>
      <c r="R435" s="1">
        <v>2000</v>
      </c>
      <c r="S435" s="1">
        <f t="shared" si="136"/>
        <v>2000</v>
      </c>
      <c r="T435" s="1">
        <v>1</v>
      </c>
      <c r="U435" s="1" t="str">
        <f t="shared" si="137"/>
        <v>SIM</v>
      </c>
      <c r="V435" s="1">
        <f t="shared" si="138"/>
        <v>1102</v>
      </c>
      <c r="W435" s="4">
        <f t="shared" si="139"/>
        <v>1.8148820326678765</v>
      </c>
      <c r="X435" s="4">
        <f t="shared" si="140"/>
        <v>662.43194192377496</v>
      </c>
      <c r="Y435" s="4">
        <f t="shared" si="141"/>
        <v>0.82803992740471866</v>
      </c>
      <c r="AB435" s="5">
        <f t="shared" si="142"/>
        <v>45292</v>
      </c>
      <c r="AC435" s="5">
        <f t="shared" si="143"/>
        <v>45657</v>
      </c>
      <c r="AD435" s="1">
        <v>24</v>
      </c>
      <c r="AE435" s="1">
        <f t="shared" si="144"/>
        <v>0</v>
      </c>
      <c r="AF435" s="1">
        <f t="shared" si="145"/>
        <v>0</v>
      </c>
      <c r="AG435" s="1">
        <f t="shared" si="146"/>
        <v>0</v>
      </c>
      <c r="AH435" s="1">
        <f t="shared" si="147"/>
        <v>0</v>
      </c>
      <c r="AI435" s="1">
        <f t="shared" si="148"/>
        <v>183</v>
      </c>
      <c r="AJ435" s="3">
        <f t="shared" si="149"/>
        <v>0.5</v>
      </c>
      <c r="AK435" s="3">
        <f t="shared" si="150"/>
        <v>0.41401996370235933</v>
      </c>
      <c r="AL435" s="3">
        <f t="shared" si="151"/>
        <v>4.9682395644283117</v>
      </c>
      <c r="AM435" s="3">
        <f t="shared" si="152"/>
        <v>4.9682395644283117</v>
      </c>
      <c r="AN435" s="3">
        <f t="shared" si="153"/>
        <v>0</v>
      </c>
      <c r="AO435" s="3">
        <f t="shared" si="154"/>
        <v>4.9682395644283117</v>
      </c>
      <c r="AP435" s="1" t="str">
        <f>INDEX({"EAD";"EAD";"EAD";"EAD MOOC";"EAD";"EAD";"EAD FP";"EAD";"PRESENCIAL";"PRESENCIAL";"PRESENCIAL";"PRESENCIAL"}, MATCH(CONCATENATE(E435, ".", F435),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436" spans="1:42" x14ac:dyDescent="0.25">
      <c r="A436" s="1" t="s">
        <v>27</v>
      </c>
      <c r="B436" s="1" t="s">
        <v>43</v>
      </c>
      <c r="C436" s="1" t="s">
        <v>29</v>
      </c>
      <c r="D436" s="1" t="s">
        <v>44</v>
      </c>
      <c r="E436" s="1" t="s">
        <v>120</v>
      </c>
      <c r="F436" s="1" t="s">
        <v>21</v>
      </c>
      <c r="G436" s="1" t="s">
        <v>128</v>
      </c>
      <c r="H436" s="1" t="s">
        <v>582</v>
      </c>
      <c r="I436" s="1" t="s">
        <v>289</v>
      </c>
      <c r="J436" s="1" t="s">
        <v>125</v>
      </c>
      <c r="K436" s="1" t="s">
        <v>130</v>
      </c>
      <c r="L436" s="1">
        <v>2675498</v>
      </c>
      <c r="M436" s="1" t="s">
        <v>643</v>
      </c>
      <c r="N436" s="5">
        <f t="shared" ref="N436:N456" si="158">DATE(2020,2,3)</f>
        <v>43864</v>
      </c>
      <c r="O436" s="5">
        <f>DATE(2023,12,23)</f>
        <v>45283</v>
      </c>
      <c r="P436" s="5">
        <f t="shared" si="135"/>
        <v>46378</v>
      </c>
      <c r="Q436" s="1">
        <v>3672</v>
      </c>
      <c r="R436" s="1">
        <v>1200</v>
      </c>
      <c r="S436" s="1">
        <f t="shared" si="136"/>
        <v>3200</v>
      </c>
      <c r="T436" s="1">
        <v>2.5</v>
      </c>
      <c r="U436" s="1" t="str">
        <f t="shared" si="137"/>
        <v>SIM</v>
      </c>
      <c r="V436" s="1">
        <f t="shared" si="138"/>
        <v>1420</v>
      </c>
      <c r="W436" s="4">
        <f t="shared" si="139"/>
        <v>2.2535211267605635</v>
      </c>
      <c r="X436" s="4">
        <f t="shared" si="140"/>
        <v>822.53521126760563</v>
      </c>
      <c r="Y436" s="4">
        <f t="shared" si="141"/>
        <v>1.028169014084507</v>
      </c>
      <c r="AB436" s="5">
        <f t="shared" si="142"/>
        <v>45292</v>
      </c>
      <c r="AC436" s="5">
        <f t="shared" si="143"/>
        <v>45657</v>
      </c>
      <c r="AD436" s="1">
        <v>6</v>
      </c>
      <c r="AE436" s="1">
        <f t="shared" si="144"/>
        <v>0</v>
      </c>
      <c r="AF436" s="1">
        <f t="shared" si="145"/>
        <v>0</v>
      </c>
      <c r="AG436" s="1">
        <f t="shared" si="146"/>
        <v>0</v>
      </c>
      <c r="AH436" s="1">
        <f t="shared" si="147"/>
        <v>0</v>
      </c>
      <c r="AI436" s="1">
        <f t="shared" si="148"/>
        <v>183</v>
      </c>
      <c r="AJ436" s="3">
        <f t="shared" si="149"/>
        <v>0.5</v>
      </c>
      <c r="AK436" s="3">
        <f t="shared" si="150"/>
        <v>0.5140845070422535</v>
      </c>
      <c r="AL436" s="3">
        <f t="shared" si="151"/>
        <v>1.5422535211267605</v>
      </c>
      <c r="AM436" s="3">
        <f t="shared" si="152"/>
        <v>3.855633802816901</v>
      </c>
      <c r="AN436" s="3">
        <f t="shared" si="153"/>
        <v>0</v>
      </c>
      <c r="AO436" s="3">
        <f t="shared" si="154"/>
        <v>3.855633802816901</v>
      </c>
      <c r="AP436" s="1" t="str">
        <f>INDEX({"EAD";"EAD";"EAD";"EAD MOOC";"EAD";"EAD";"EAD FP";"EAD";"PRESENCIAL";"PRESENCIAL";"PRESENCIAL";"PRESENCIAL"}, MATCH(CONCATENATE(E436, ".", F436),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37" spans="1:42" x14ac:dyDescent="0.25">
      <c r="A437" s="1" t="s">
        <v>27</v>
      </c>
      <c r="B437" s="1" t="s">
        <v>43</v>
      </c>
      <c r="C437" s="1" t="s">
        <v>29</v>
      </c>
      <c r="D437" s="1" t="s">
        <v>44</v>
      </c>
      <c r="E437" s="1" t="s">
        <v>120</v>
      </c>
      <c r="F437" s="1" t="s">
        <v>21</v>
      </c>
      <c r="G437" s="1" t="s">
        <v>128</v>
      </c>
      <c r="H437" s="1" t="s">
        <v>612</v>
      </c>
      <c r="I437" s="1" t="s">
        <v>187</v>
      </c>
      <c r="J437" s="1" t="s">
        <v>125</v>
      </c>
      <c r="K437" s="1" t="s">
        <v>130</v>
      </c>
      <c r="L437" s="1">
        <v>2675499</v>
      </c>
      <c r="M437" s="1" t="s">
        <v>644</v>
      </c>
      <c r="N437" s="5">
        <f t="shared" si="158"/>
        <v>43864</v>
      </c>
      <c r="O437" s="5">
        <f>DATE(2022,12,23)</f>
        <v>44918</v>
      </c>
      <c r="P437" s="5">
        <f t="shared" si="135"/>
        <v>46013</v>
      </c>
      <c r="Q437" s="1">
        <v>3306</v>
      </c>
      <c r="R437" s="1">
        <v>800</v>
      </c>
      <c r="S437" s="1">
        <f t="shared" si="136"/>
        <v>3000</v>
      </c>
      <c r="T437" s="1">
        <v>1.5</v>
      </c>
      <c r="U437" s="1" t="str">
        <f t="shared" si="137"/>
        <v>SIM</v>
      </c>
      <c r="V437" s="1">
        <f t="shared" si="138"/>
        <v>1055</v>
      </c>
      <c r="W437" s="4">
        <f t="shared" si="139"/>
        <v>2.8436018957345972</v>
      </c>
      <c r="X437" s="4">
        <f t="shared" si="140"/>
        <v>1037.914691943128</v>
      </c>
      <c r="Y437" s="4">
        <f t="shared" si="141"/>
        <v>1.29739336492891</v>
      </c>
      <c r="AB437" s="5">
        <f t="shared" si="142"/>
        <v>45292</v>
      </c>
      <c r="AC437" s="5">
        <f t="shared" si="143"/>
        <v>45657</v>
      </c>
      <c r="AD437" s="1">
        <v>4</v>
      </c>
      <c r="AE437" s="1">
        <f t="shared" si="144"/>
        <v>0</v>
      </c>
      <c r="AF437" s="1">
        <f t="shared" si="145"/>
        <v>0</v>
      </c>
      <c r="AG437" s="1">
        <f t="shared" si="146"/>
        <v>0</v>
      </c>
      <c r="AH437" s="1">
        <f t="shared" si="147"/>
        <v>0</v>
      </c>
      <c r="AI437" s="1">
        <f t="shared" si="148"/>
        <v>183</v>
      </c>
      <c r="AJ437" s="3">
        <f t="shared" si="149"/>
        <v>0.5</v>
      </c>
      <c r="AK437" s="3">
        <f t="shared" si="150"/>
        <v>0.648696682464455</v>
      </c>
      <c r="AL437" s="3">
        <f t="shared" si="151"/>
        <v>1.29739336492891</v>
      </c>
      <c r="AM437" s="3">
        <f t="shared" si="152"/>
        <v>1.9460900473933651</v>
      </c>
      <c r="AN437" s="3">
        <f t="shared" si="153"/>
        <v>0</v>
      </c>
      <c r="AO437" s="3">
        <f t="shared" si="154"/>
        <v>1.9460900473933651</v>
      </c>
      <c r="AP437" s="1" t="str">
        <f>INDEX({"EAD";"EAD";"EAD";"EAD MOOC";"EAD";"EAD";"EAD FP";"EAD";"PRESENCIAL";"PRESENCIAL";"PRESENCIAL";"PRESENCIAL"}, MATCH(CONCATENATE(E437, ".", F437),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38" spans="1:42" x14ac:dyDescent="0.25">
      <c r="A438" s="1" t="s">
        <v>27</v>
      </c>
      <c r="B438" s="1" t="s">
        <v>43</v>
      </c>
      <c r="C438" s="1" t="s">
        <v>29</v>
      </c>
      <c r="D438" s="1" t="s">
        <v>44</v>
      </c>
      <c r="E438" s="1" t="s">
        <v>120</v>
      </c>
      <c r="F438" s="1" t="s">
        <v>21</v>
      </c>
      <c r="G438" s="1" t="s">
        <v>128</v>
      </c>
      <c r="H438" s="1" t="s">
        <v>218</v>
      </c>
      <c r="I438" s="1" t="s">
        <v>124</v>
      </c>
      <c r="J438" s="1" t="s">
        <v>125</v>
      </c>
      <c r="K438" s="1" t="s">
        <v>130</v>
      </c>
      <c r="L438" s="1">
        <v>2675501</v>
      </c>
      <c r="M438" s="1" t="s">
        <v>645</v>
      </c>
      <c r="N438" s="5">
        <f t="shared" si="158"/>
        <v>43864</v>
      </c>
      <c r="O438" s="5">
        <f>DATE(2022,12,23)</f>
        <v>44918</v>
      </c>
      <c r="P438" s="5">
        <f t="shared" si="135"/>
        <v>46013</v>
      </c>
      <c r="Q438" s="1">
        <v>3973</v>
      </c>
      <c r="R438" s="1">
        <v>800</v>
      </c>
      <c r="S438" s="1">
        <f t="shared" si="136"/>
        <v>3000</v>
      </c>
      <c r="T438" s="1">
        <v>1.5</v>
      </c>
      <c r="U438" s="1" t="str">
        <f t="shared" si="137"/>
        <v>SIM</v>
      </c>
      <c r="V438" s="1">
        <f t="shared" si="138"/>
        <v>1055</v>
      </c>
      <c r="W438" s="4">
        <f t="shared" si="139"/>
        <v>2.8436018957345972</v>
      </c>
      <c r="X438" s="4">
        <f t="shared" si="140"/>
        <v>1037.914691943128</v>
      </c>
      <c r="Y438" s="4">
        <f t="shared" si="141"/>
        <v>1.29739336492891</v>
      </c>
      <c r="AB438" s="5">
        <f t="shared" si="142"/>
        <v>45292</v>
      </c>
      <c r="AC438" s="5">
        <f t="shared" si="143"/>
        <v>45657</v>
      </c>
      <c r="AD438" s="1">
        <v>5</v>
      </c>
      <c r="AE438" s="1">
        <f t="shared" si="144"/>
        <v>0</v>
      </c>
      <c r="AF438" s="1">
        <f t="shared" si="145"/>
        <v>0</v>
      </c>
      <c r="AG438" s="1">
        <f t="shared" si="146"/>
        <v>0</v>
      </c>
      <c r="AH438" s="1">
        <f t="shared" si="147"/>
        <v>0</v>
      </c>
      <c r="AI438" s="1">
        <f t="shared" si="148"/>
        <v>183</v>
      </c>
      <c r="AJ438" s="3">
        <f t="shared" si="149"/>
        <v>0.5</v>
      </c>
      <c r="AK438" s="3">
        <f t="shared" si="150"/>
        <v>0.648696682464455</v>
      </c>
      <c r="AL438" s="3">
        <f t="shared" si="151"/>
        <v>1.6217417061611374</v>
      </c>
      <c r="AM438" s="3">
        <f t="shared" si="152"/>
        <v>2.4326125592417061</v>
      </c>
      <c r="AN438" s="3">
        <f t="shared" si="153"/>
        <v>0</v>
      </c>
      <c r="AO438" s="3">
        <f t="shared" si="154"/>
        <v>2.4326125592417061</v>
      </c>
      <c r="AP438" s="1" t="str">
        <f>INDEX({"EAD";"EAD";"EAD";"EAD MOOC";"EAD";"EAD";"EAD FP";"EAD";"PRESENCIAL";"PRESENCIAL";"PRESENCIAL";"PRESENCIAL"}, MATCH(CONCATENATE(E438, ".", F438),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39" spans="1:42" x14ac:dyDescent="0.25">
      <c r="A439" s="1" t="s">
        <v>27</v>
      </c>
      <c r="B439" s="1" t="s">
        <v>43</v>
      </c>
      <c r="C439" s="1" t="s">
        <v>29</v>
      </c>
      <c r="D439" s="1" t="s">
        <v>44</v>
      </c>
      <c r="E439" s="1" t="s">
        <v>120</v>
      </c>
      <c r="F439" s="1" t="s">
        <v>21</v>
      </c>
      <c r="G439" s="1" t="s">
        <v>128</v>
      </c>
      <c r="H439" s="1" t="s">
        <v>559</v>
      </c>
      <c r="I439" s="1" t="s">
        <v>289</v>
      </c>
      <c r="J439" s="1" t="s">
        <v>125</v>
      </c>
      <c r="K439" s="1" t="s">
        <v>130</v>
      </c>
      <c r="L439" s="1">
        <v>2676044</v>
      </c>
      <c r="M439" s="1" t="s">
        <v>646</v>
      </c>
      <c r="N439" s="5">
        <f t="shared" si="158"/>
        <v>43864</v>
      </c>
      <c r="O439" s="5">
        <f>DATE(2023,12,23)</f>
        <v>45283</v>
      </c>
      <c r="P439" s="5">
        <f t="shared" si="135"/>
        <v>46378</v>
      </c>
      <c r="Q439" s="1">
        <v>3826</v>
      </c>
      <c r="R439" s="1">
        <v>1200</v>
      </c>
      <c r="S439" s="1">
        <f t="shared" si="136"/>
        <v>3200</v>
      </c>
      <c r="T439" s="1">
        <v>2.5</v>
      </c>
      <c r="U439" s="1" t="str">
        <f t="shared" si="137"/>
        <v>SIM</v>
      </c>
      <c r="V439" s="1">
        <f t="shared" si="138"/>
        <v>1420</v>
      </c>
      <c r="W439" s="4">
        <f t="shared" si="139"/>
        <v>2.2535211267605635</v>
      </c>
      <c r="X439" s="4">
        <f t="shared" si="140"/>
        <v>822.53521126760563</v>
      </c>
      <c r="Y439" s="4">
        <f t="shared" si="141"/>
        <v>1.028169014084507</v>
      </c>
      <c r="AB439" s="5">
        <f t="shared" si="142"/>
        <v>45292</v>
      </c>
      <c r="AC439" s="5">
        <f t="shared" si="143"/>
        <v>45657</v>
      </c>
      <c r="AD439" s="1">
        <v>11</v>
      </c>
      <c r="AE439" s="1">
        <f t="shared" si="144"/>
        <v>0</v>
      </c>
      <c r="AF439" s="1">
        <f t="shared" si="145"/>
        <v>0</v>
      </c>
      <c r="AG439" s="1">
        <f t="shared" si="146"/>
        <v>0</v>
      </c>
      <c r="AH439" s="1">
        <f t="shared" si="147"/>
        <v>0</v>
      </c>
      <c r="AI439" s="1">
        <f t="shared" si="148"/>
        <v>183</v>
      </c>
      <c r="AJ439" s="3">
        <f t="shared" si="149"/>
        <v>0.5</v>
      </c>
      <c r="AK439" s="3">
        <f t="shared" si="150"/>
        <v>0.5140845070422535</v>
      </c>
      <c r="AL439" s="3">
        <f t="shared" si="151"/>
        <v>2.827464788732394</v>
      </c>
      <c r="AM439" s="3">
        <f t="shared" si="152"/>
        <v>7.0686619718309851</v>
      </c>
      <c r="AN439" s="3">
        <f t="shared" si="153"/>
        <v>0</v>
      </c>
      <c r="AO439" s="3">
        <f t="shared" si="154"/>
        <v>7.0686619718309851</v>
      </c>
      <c r="AP439" s="1" t="str">
        <f>INDEX({"EAD";"EAD";"EAD";"EAD MOOC";"EAD";"EAD";"EAD FP";"EAD";"PRESENCIAL";"PRESENCIAL";"PRESENCIAL";"PRESENCIAL"}, MATCH(CONCATENATE(E439, ".", F439),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40" spans="1:42" x14ac:dyDescent="0.25">
      <c r="A440" s="1" t="s">
        <v>27</v>
      </c>
      <c r="B440" s="1" t="s">
        <v>43</v>
      </c>
      <c r="C440" s="1" t="s">
        <v>29</v>
      </c>
      <c r="D440" s="1" t="s">
        <v>44</v>
      </c>
      <c r="E440" s="1" t="s">
        <v>120</v>
      </c>
      <c r="F440" s="1" t="s">
        <v>21</v>
      </c>
      <c r="G440" s="1" t="s">
        <v>128</v>
      </c>
      <c r="H440" s="1" t="s">
        <v>586</v>
      </c>
      <c r="I440" s="1" t="s">
        <v>503</v>
      </c>
      <c r="J440" s="1" t="s">
        <v>125</v>
      </c>
      <c r="K440" s="1" t="s">
        <v>130</v>
      </c>
      <c r="L440" s="1">
        <v>2676045</v>
      </c>
      <c r="M440" s="1" t="s">
        <v>647</v>
      </c>
      <c r="N440" s="5">
        <f t="shared" si="158"/>
        <v>43864</v>
      </c>
      <c r="O440" s="5">
        <f>DATE(2022,12,23)</f>
        <v>44918</v>
      </c>
      <c r="P440" s="5">
        <f t="shared" si="135"/>
        <v>46013</v>
      </c>
      <c r="Q440" s="1">
        <v>3700</v>
      </c>
      <c r="R440" s="1">
        <v>1200</v>
      </c>
      <c r="S440" s="1">
        <f t="shared" si="136"/>
        <v>3200</v>
      </c>
      <c r="T440" s="1">
        <v>2.5</v>
      </c>
      <c r="U440" s="1" t="str">
        <f t="shared" si="137"/>
        <v>SIM</v>
      </c>
      <c r="V440" s="1">
        <f t="shared" si="138"/>
        <v>1055</v>
      </c>
      <c r="W440" s="4">
        <f t="shared" si="139"/>
        <v>3.0331753554502368</v>
      </c>
      <c r="X440" s="4">
        <f t="shared" si="140"/>
        <v>1107.1090047393363</v>
      </c>
      <c r="Y440" s="4">
        <f t="shared" si="141"/>
        <v>1.3838862559241705</v>
      </c>
      <c r="AB440" s="5">
        <f t="shared" si="142"/>
        <v>45292</v>
      </c>
      <c r="AC440" s="5">
        <f t="shared" si="143"/>
        <v>45657</v>
      </c>
      <c r="AD440" s="1">
        <v>2</v>
      </c>
      <c r="AE440" s="1">
        <f t="shared" si="144"/>
        <v>0</v>
      </c>
      <c r="AF440" s="1">
        <f t="shared" si="145"/>
        <v>0</v>
      </c>
      <c r="AG440" s="1">
        <f t="shared" si="146"/>
        <v>0</v>
      </c>
      <c r="AH440" s="1">
        <f t="shared" si="147"/>
        <v>0</v>
      </c>
      <c r="AI440" s="1">
        <f t="shared" si="148"/>
        <v>183</v>
      </c>
      <c r="AJ440" s="3">
        <f t="shared" si="149"/>
        <v>0.5</v>
      </c>
      <c r="AK440" s="3">
        <f t="shared" si="150"/>
        <v>0.69194312796208524</v>
      </c>
      <c r="AL440" s="3">
        <f t="shared" si="151"/>
        <v>0.69194312796208524</v>
      </c>
      <c r="AM440" s="3">
        <f t="shared" si="152"/>
        <v>1.729857819905213</v>
      </c>
      <c r="AN440" s="3">
        <f t="shared" si="153"/>
        <v>0</v>
      </c>
      <c r="AO440" s="3">
        <f t="shared" si="154"/>
        <v>1.729857819905213</v>
      </c>
      <c r="AP440" s="1" t="str">
        <f>INDEX({"EAD";"EAD";"EAD";"EAD MOOC";"EAD";"EAD";"EAD FP";"EAD";"PRESENCIAL";"PRESENCIAL";"PRESENCIAL";"PRESENCIAL"}, MATCH(CONCATENATE(E440, ".", F440),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41" spans="1:42" x14ac:dyDescent="0.25">
      <c r="A441" s="1" t="s">
        <v>27</v>
      </c>
      <c r="B441" s="1" t="s">
        <v>43</v>
      </c>
      <c r="C441" s="1" t="s">
        <v>29</v>
      </c>
      <c r="D441" s="1" t="s">
        <v>44</v>
      </c>
      <c r="E441" s="1" t="s">
        <v>120</v>
      </c>
      <c r="F441" s="1" t="s">
        <v>21</v>
      </c>
      <c r="G441" s="1" t="s">
        <v>128</v>
      </c>
      <c r="H441" s="1" t="s">
        <v>526</v>
      </c>
      <c r="I441" s="1" t="s">
        <v>503</v>
      </c>
      <c r="J441" s="1" t="s">
        <v>125</v>
      </c>
      <c r="K441" s="1" t="s">
        <v>130</v>
      </c>
      <c r="L441" s="1">
        <v>2676046</v>
      </c>
      <c r="M441" s="1" t="s">
        <v>648</v>
      </c>
      <c r="N441" s="5">
        <f t="shared" si="158"/>
        <v>43864</v>
      </c>
      <c r="O441" s="5">
        <f>DATE(2022,12,23)</f>
        <v>44918</v>
      </c>
      <c r="P441" s="5">
        <f t="shared" si="135"/>
        <v>46013</v>
      </c>
      <c r="Q441" s="1">
        <v>3700</v>
      </c>
      <c r="R441" s="1">
        <v>1200</v>
      </c>
      <c r="S441" s="1">
        <f t="shared" si="136"/>
        <v>3200</v>
      </c>
      <c r="T441" s="1">
        <v>2.5</v>
      </c>
      <c r="U441" s="1" t="str">
        <f t="shared" si="137"/>
        <v>SIM</v>
      </c>
      <c r="V441" s="1">
        <f t="shared" si="138"/>
        <v>1055</v>
      </c>
      <c r="W441" s="4">
        <f t="shared" si="139"/>
        <v>3.0331753554502368</v>
      </c>
      <c r="X441" s="4">
        <f t="shared" si="140"/>
        <v>1107.1090047393363</v>
      </c>
      <c r="Y441" s="4">
        <f t="shared" si="141"/>
        <v>1.3838862559241705</v>
      </c>
      <c r="AB441" s="5">
        <f t="shared" si="142"/>
        <v>45292</v>
      </c>
      <c r="AC441" s="5">
        <f t="shared" si="143"/>
        <v>45657</v>
      </c>
      <c r="AD441" s="1">
        <v>10</v>
      </c>
      <c r="AE441" s="1">
        <f t="shared" si="144"/>
        <v>0</v>
      </c>
      <c r="AF441" s="1">
        <f t="shared" si="145"/>
        <v>0</v>
      </c>
      <c r="AG441" s="1">
        <f t="shared" si="146"/>
        <v>0</v>
      </c>
      <c r="AH441" s="1">
        <f t="shared" si="147"/>
        <v>0</v>
      </c>
      <c r="AI441" s="1">
        <f t="shared" si="148"/>
        <v>183</v>
      </c>
      <c r="AJ441" s="3">
        <f t="shared" si="149"/>
        <v>0.5</v>
      </c>
      <c r="AK441" s="3">
        <f t="shared" si="150"/>
        <v>0.69194312796208524</v>
      </c>
      <c r="AL441" s="3">
        <f t="shared" si="151"/>
        <v>3.4597156398104261</v>
      </c>
      <c r="AM441" s="3">
        <f t="shared" si="152"/>
        <v>8.6492890995260652</v>
      </c>
      <c r="AN441" s="3">
        <f t="shared" si="153"/>
        <v>0</v>
      </c>
      <c r="AO441" s="3">
        <f t="shared" si="154"/>
        <v>8.6492890995260652</v>
      </c>
      <c r="AP441" s="1" t="str">
        <f>INDEX({"EAD";"EAD";"EAD";"EAD MOOC";"EAD";"EAD";"EAD FP";"EAD";"PRESENCIAL";"PRESENCIAL";"PRESENCIAL";"PRESENCIAL"}, MATCH(CONCATENATE(E441, ".", F441),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42" spans="1:42" x14ac:dyDescent="0.25">
      <c r="A442" s="1" t="s">
        <v>27</v>
      </c>
      <c r="B442" s="1" t="s">
        <v>43</v>
      </c>
      <c r="C442" s="1" t="s">
        <v>29</v>
      </c>
      <c r="D442" s="1" t="s">
        <v>44</v>
      </c>
      <c r="E442" s="1" t="s">
        <v>120</v>
      </c>
      <c r="F442" s="1" t="s">
        <v>21</v>
      </c>
      <c r="G442" s="1" t="s">
        <v>128</v>
      </c>
      <c r="H442" s="1" t="s">
        <v>582</v>
      </c>
      <c r="I442" s="1" t="s">
        <v>289</v>
      </c>
      <c r="J442" s="1" t="s">
        <v>125</v>
      </c>
      <c r="K442" s="1" t="s">
        <v>163</v>
      </c>
      <c r="L442" s="1">
        <v>2676047</v>
      </c>
      <c r="M442" s="1" t="s">
        <v>649</v>
      </c>
      <c r="N442" s="5">
        <f t="shared" si="158"/>
        <v>43864</v>
      </c>
      <c r="O442" s="5">
        <f>DATE(2021,12,23)</f>
        <v>44553</v>
      </c>
      <c r="P442" s="5">
        <f t="shared" si="135"/>
        <v>45648</v>
      </c>
      <c r="Q442" s="1">
        <v>1412</v>
      </c>
      <c r="R442" s="1">
        <v>1200</v>
      </c>
      <c r="S442" s="1">
        <f t="shared" si="136"/>
        <v>1200</v>
      </c>
      <c r="T442" s="1">
        <v>2.5</v>
      </c>
      <c r="U442" s="1" t="str">
        <f t="shared" si="137"/>
        <v>SIM</v>
      </c>
      <c r="V442" s="1">
        <f t="shared" si="138"/>
        <v>690</v>
      </c>
      <c r="W442" s="4">
        <f t="shared" si="139"/>
        <v>1.7391304347826086</v>
      </c>
      <c r="X442" s="4">
        <f t="shared" si="140"/>
        <v>634.78260869565213</v>
      </c>
      <c r="Y442" s="4">
        <f t="shared" si="141"/>
        <v>0.79347826086956519</v>
      </c>
      <c r="AB442" s="5">
        <f t="shared" si="142"/>
        <v>45292</v>
      </c>
      <c r="AC442" s="5">
        <f t="shared" si="143"/>
        <v>45657</v>
      </c>
      <c r="AD442" s="1">
        <v>5</v>
      </c>
      <c r="AE442" s="1">
        <f t="shared" si="144"/>
        <v>0</v>
      </c>
      <c r="AF442" s="1">
        <f t="shared" si="145"/>
        <v>0</v>
      </c>
      <c r="AG442" s="1">
        <f t="shared" si="146"/>
        <v>0</v>
      </c>
      <c r="AH442" s="1">
        <f t="shared" si="147"/>
        <v>0</v>
      </c>
      <c r="AI442" s="1">
        <f t="shared" si="148"/>
        <v>183</v>
      </c>
      <c r="AJ442" s="3">
        <f t="shared" si="149"/>
        <v>0.5</v>
      </c>
      <c r="AK442" s="3">
        <f t="shared" si="150"/>
        <v>0.39673913043478259</v>
      </c>
      <c r="AL442" s="3">
        <f t="shared" si="151"/>
        <v>0.99184782608695654</v>
      </c>
      <c r="AM442" s="3">
        <f t="shared" si="152"/>
        <v>2.4796195652173916</v>
      </c>
      <c r="AN442" s="3">
        <f t="shared" si="153"/>
        <v>0</v>
      </c>
      <c r="AO442" s="3">
        <f t="shared" si="154"/>
        <v>2.4796195652173916</v>
      </c>
      <c r="AP442" s="1" t="str">
        <f>INDEX({"EAD";"EAD";"EAD";"EAD MOOC";"EAD";"EAD";"EAD FP";"EAD";"PRESENCIAL";"PRESENCIAL";"PRESENCIAL";"PRESENCIAL"}, MATCH(CONCATENATE(E442, ".", F442),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43" spans="1:42" x14ac:dyDescent="0.25">
      <c r="A443" s="1" t="s">
        <v>27</v>
      </c>
      <c r="B443" s="1" t="s">
        <v>43</v>
      </c>
      <c r="C443" s="1" t="s">
        <v>29</v>
      </c>
      <c r="D443" s="1" t="s">
        <v>44</v>
      </c>
      <c r="E443" s="1" t="s">
        <v>120</v>
      </c>
      <c r="F443" s="1" t="s">
        <v>21</v>
      </c>
      <c r="G443" s="1" t="s">
        <v>128</v>
      </c>
      <c r="H443" s="1" t="s">
        <v>559</v>
      </c>
      <c r="I443" s="1" t="s">
        <v>289</v>
      </c>
      <c r="J443" s="1" t="s">
        <v>125</v>
      </c>
      <c r="K443" s="1" t="s">
        <v>163</v>
      </c>
      <c r="L443" s="1">
        <v>2676048</v>
      </c>
      <c r="M443" s="1" t="s">
        <v>650</v>
      </c>
      <c r="N443" s="5">
        <f t="shared" si="158"/>
        <v>43864</v>
      </c>
      <c r="O443" s="5">
        <f>DATE(2021,12,23)</f>
        <v>44553</v>
      </c>
      <c r="P443" s="5">
        <f t="shared" si="135"/>
        <v>45648</v>
      </c>
      <c r="Q443" s="1">
        <v>1514</v>
      </c>
      <c r="R443" s="1">
        <v>1200</v>
      </c>
      <c r="S443" s="1">
        <f t="shared" si="136"/>
        <v>1200</v>
      </c>
      <c r="T443" s="1">
        <v>2.5</v>
      </c>
      <c r="U443" s="1" t="str">
        <f t="shared" si="137"/>
        <v>SIM</v>
      </c>
      <c r="V443" s="1">
        <f t="shared" si="138"/>
        <v>690</v>
      </c>
      <c r="W443" s="4">
        <f t="shared" si="139"/>
        <v>1.7391304347826086</v>
      </c>
      <c r="X443" s="4">
        <f t="shared" si="140"/>
        <v>634.78260869565213</v>
      </c>
      <c r="Y443" s="4">
        <f t="shared" si="141"/>
        <v>0.79347826086956519</v>
      </c>
      <c r="AB443" s="5">
        <f t="shared" si="142"/>
        <v>45292</v>
      </c>
      <c r="AC443" s="5">
        <f t="shared" si="143"/>
        <v>45657</v>
      </c>
      <c r="AD443" s="1">
        <v>1</v>
      </c>
      <c r="AE443" s="1">
        <f t="shared" si="144"/>
        <v>0</v>
      </c>
      <c r="AF443" s="1">
        <f t="shared" si="145"/>
        <v>0</v>
      </c>
      <c r="AG443" s="1">
        <f t="shared" si="146"/>
        <v>0</v>
      </c>
      <c r="AH443" s="1">
        <f t="shared" si="147"/>
        <v>0</v>
      </c>
      <c r="AI443" s="1">
        <f t="shared" si="148"/>
        <v>183</v>
      </c>
      <c r="AJ443" s="3">
        <f t="shared" si="149"/>
        <v>0.5</v>
      </c>
      <c r="AK443" s="3">
        <f t="shared" si="150"/>
        <v>0.39673913043478259</v>
      </c>
      <c r="AL443" s="3">
        <f t="shared" si="151"/>
        <v>0.1983695652173913</v>
      </c>
      <c r="AM443" s="3">
        <f t="shared" si="152"/>
        <v>0.49592391304347827</v>
      </c>
      <c r="AN443" s="3">
        <f t="shared" si="153"/>
        <v>0</v>
      </c>
      <c r="AO443" s="3">
        <f t="shared" si="154"/>
        <v>0.49592391304347827</v>
      </c>
      <c r="AP443" s="1" t="str">
        <f>INDEX({"EAD";"EAD";"EAD";"EAD MOOC";"EAD";"EAD";"EAD FP";"EAD";"PRESENCIAL";"PRESENCIAL";"PRESENCIAL";"PRESENCIAL"}, MATCH(CONCATENATE(E443, ".", F443),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44" spans="1:42" x14ac:dyDescent="0.25">
      <c r="A444" s="1" t="s">
        <v>27</v>
      </c>
      <c r="B444" s="1" t="s">
        <v>43</v>
      </c>
      <c r="C444" s="1" t="s">
        <v>29</v>
      </c>
      <c r="D444" s="1" t="s">
        <v>44</v>
      </c>
      <c r="E444" s="1" t="s">
        <v>120</v>
      </c>
      <c r="F444" s="1" t="s">
        <v>21</v>
      </c>
      <c r="G444" s="1" t="s">
        <v>128</v>
      </c>
      <c r="H444" s="1" t="s">
        <v>526</v>
      </c>
      <c r="I444" s="1" t="s">
        <v>503</v>
      </c>
      <c r="J444" s="1" t="s">
        <v>125</v>
      </c>
      <c r="K444" s="1" t="s">
        <v>163</v>
      </c>
      <c r="L444" s="1">
        <v>2676051</v>
      </c>
      <c r="M444" s="1" t="s">
        <v>651</v>
      </c>
      <c r="N444" s="5">
        <f t="shared" si="158"/>
        <v>43864</v>
      </c>
      <c r="O444" s="5">
        <f>DATE(2021,12,23)</f>
        <v>44553</v>
      </c>
      <c r="P444" s="5">
        <f t="shared" si="135"/>
        <v>45648</v>
      </c>
      <c r="Q444" s="1">
        <v>1707</v>
      </c>
      <c r="R444" s="1">
        <v>1200</v>
      </c>
      <c r="S444" s="1">
        <f t="shared" si="136"/>
        <v>1200</v>
      </c>
      <c r="T444" s="1">
        <v>2.5</v>
      </c>
      <c r="U444" s="1" t="str">
        <f t="shared" si="137"/>
        <v>SIM</v>
      </c>
      <c r="V444" s="1">
        <f t="shared" si="138"/>
        <v>690</v>
      </c>
      <c r="W444" s="4">
        <f t="shared" si="139"/>
        <v>1.7391304347826086</v>
      </c>
      <c r="X444" s="4">
        <f t="shared" si="140"/>
        <v>634.78260869565213</v>
      </c>
      <c r="Y444" s="4">
        <f t="shared" si="141"/>
        <v>0.79347826086956519</v>
      </c>
      <c r="AB444" s="5">
        <f t="shared" si="142"/>
        <v>45292</v>
      </c>
      <c r="AC444" s="5">
        <f t="shared" si="143"/>
        <v>45657</v>
      </c>
      <c r="AD444" s="1">
        <v>6</v>
      </c>
      <c r="AE444" s="1">
        <f t="shared" si="144"/>
        <v>0</v>
      </c>
      <c r="AF444" s="1">
        <f t="shared" si="145"/>
        <v>0</v>
      </c>
      <c r="AG444" s="1">
        <f t="shared" si="146"/>
        <v>0</v>
      </c>
      <c r="AH444" s="1">
        <f t="shared" si="147"/>
        <v>0</v>
      </c>
      <c r="AI444" s="1">
        <f t="shared" si="148"/>
        <v>183</v>
      </c>
      <c r="AJ444" s="3">
        <f t="shared" si="149"/>
        <v>0.5</v>
      </c>
      <c r="AK444" s="3">
        <f t="shared" si="150"/>
        <v>0.39673913043478259</v>
      </c>
      <c r="AL444" s="3">
        <f t="shared" si="151"/>
        <v>1.1902173913043477</v>
      </c>
      <c r="AM444" s="3">
        <f t="shared" si="152"/>
        <v>2.9755434782608692</v>
      </c>
      <c r="AN444" s="3">
        <f t="shared" si="153"/>
        <v>0</v>
      </c>
      <c r="AO444" s="3">
        <f t="shared" si="154"/>
        <v>2.9755434782608692</v>
      </c>
      <c r="AP444" s="1" t="str">
        <f>INDEX({"EAD";"EAD";"EAD";"EAD MOOC";"EAD";"EAD";"EAD FP";"EAD";"PRESENCIAL";"PRESENCIAL";"PRESENCIAL";"PRESENCIAL"}, MATCH(CONCATENATE(E444, ".", F444),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45" spans="1:42" x14ac:dyDescent="0.25">
      <c r="A445" s="1" t="s">
        <v>27</v>
      </c>
      <c r="B445" s="1" t="s">
        <v>43</v>
      </c>
      <c r="C445" s="1" t="s">
        <v>29</v>
      </c>
      <c r="D445" s="1" t="s">
        <v>44</v>
      </c>
      <c r="E445" s="1" t="s">
        <v>120</v>
      </c>
      <c r="F445" s="1" t="s">
        <v>21</v>
      </c>
      <c r="G445" s="1" t="s">
        <v>128</v>
      </c>
      <c r="H445" s="1" t="s">
        <v>586</v>
      </c>
      <c r="I445" s="1" t="s">
        <v>503</v>
      </c>
      <c r="J445" s="1" t="s">
        <v>125</v>
      </c>
      <c r="K445" s="1" t="s">
        <v>163</v>
      </c>
      <c r="L445" s="1">
        <v>2676053</v>
      </c>
      <c r="M445" s="1" t="s">
        <v>652</v>
      </c>
      <c r="N445" s="5">
        <f t="shared" si="158"/>
        <v>43864</v>
      </c>
      <c r="O445" s="5">
        <f>DATE(2021,12,23)</f>
        <v>44553</v>
      </c>
      <c r="P445" s="5">
        <f t="shared" si="135"/>
        <v>45648</v>
      </c>
      <c r="Q445" s="1">
        <v>1703</v>
      </c>
      <c r="R445" s="1">
        <v>1200</v>
      </c>
      <c r="S445" s="1">
        <f t="shared" si="136"/>
        <v>1200</v>
      </c>
      <c r="T445" s="1">
        <v>2.5</v>
      </c>
      <c r="U445" s="1" t="str">
        <f t="shared" si="137"/>
        <v>SIM</v>
      </c>
      <c r="V445" s="1">
        <f t="shared" si="138"/>
        <v>690</v>
      </c>
      <c r="W445" s="4">
        <f t="shared" si="139"/>
        <v>1.7391304347826086</v>
      </c>
      <c r="X445" s="4">
        <f t="shared" si="140"/>
        <v>634.78260869565213</v>
      </c>
      <c r="Y445" s="4">
        <f t="shared" si="141"/>
        <v>0.79347826086956519</v>
      </c>
      <c r="AB445" s="5">
        <f t="shared" si="142"/>
        <v>45292</v>
      </c>
      <c r="AC445" s="5">
        <f t="shared" si="143"/>
        <v>45657</v>
      </c>
      <c r="AD445" s="1">
        <v>5</v>
      </c>
      <c r="AE445" s="1">
        <f t="shared" si="144"/>
        <v>0</v>
      </c>
      <c r="AF445" s="1">
        <f t="shared" si="145"/>
        <v>0</v>
      </c>
      <c r="AG445" s="1">
        <f t="shared" si="146"/>
        <v>0</v>
      </c>
      <c r="AH445" s="1">
        <f t="shared" si="147"/>
        <v>0</v>
      </c>
      <c r="AI445" s="1">
        <f t="shared" si="148"/>
        <v>183</v>
      </c>
      <c r="AJ445" s="3">
        <f t="shared" si="149"/>
        <v>0.5</v>
      </c>
      <c r="AK445" s="3">
        <f t="shared" si="150"/>
        <v>0.39673913043478259</v>
      </c>
      <c r="AL445" s="3">
        <f t="shared" si="151"/>
        <v>0.99184782608695654</v>
      </c>
      <c r="AM445" s="3">
        <f t="shared" si="152"/>
        <v>2.4796195652173916</v>
      </c>
      <c r="AN445" s="3">
        <f t="shared" si="153"/>
        <v>0</v>
      </c>
      <c r="AO445" s="3">
        <f t="shared" si="154"/>
        <v>2.4796195652173916</v>
      </c>
      <c r="AP445" s="1" t="str">
        <f>INDEX({"EAD";"EAD";"EAD";"EAD MOOC";"EAD";"EAD";"EAD FP";"EAD";"PRESENCIAL";"PRESENCIAL";"PRESENCIAL";"PRESENCIAL"}, MATCH(CONCATENATE(E445, ".", F445),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46" spans="1:42" x14ac:dyDescent="0.25">
      <c r="A446" s="1" t="s">
        <v>27</v>
      </c>
      <c r="B446" s="1" t="s">
        <v>43</v>
      </c>
      <c r="C446" s="1" t="s">
        <v>29</v>
      </c>
      <c r="D446" s="1" t="s">
        <v>44</v>
      </c>
      <c r="E446" s="1" t="s">
        <v>120</v>
      </c>
      <c r="F446" s="1" t="s">
        <v>21</v>
      </c>
      <c r="G446" s="1" t="s">
        <v>140</v>
      </c>
      <c r="H446" s="1" t="s">
        <v>498</v>
      </c>
      <c r="I446" s="1" t="s">
        <v>289</v>
      </c>
      <c r="J446" s="1" t="s">
        <v>125</v>
      </c>
      <c r="K446" s="1" t="s">
        <v>109</v>
      </c>
      <c r="L446" s="1">
        <v>2676066</v>
      </c>
      <c r="M446" s="1" t="s">
        <v>653</v>
      </c>
      <c r="N446" s="5">
        <f t="shared" si="158"/>
        <v>43864</v>
      </c>
      <c r="O446" s="5">
        <f>DATE(2023,7,30)</f>
        <v>45137</v>
      </c>
      <c r="P446" s="5">
        <f t="shared" si="135"/>
        <v>46232</v>
      </c>
      <c r="Q446" s="1">
        <v>2750</v>
      </c>
      <c r="R446" s="1">
        <v>2400</v>
      </c>
      <c r="S446" s="1">
        <f t="shared" si="136"/>
        <v>2400</v>
      </c>
      <c r="T446" s="1">
        <v>2.5</v>
      </c>
      <c r="U446" s="1" t="str">
        <f t="shared" si="137"/>
        <v>SIM</v>
      </c>
      <c r="V446" s="1">
        <f t="shared" si="138"/>
        <v>1274</v>
      </c>
      <c r="W446" s="4">
        <f t="shared" si="139"/>
        <v>1.8838304552590266</v>
      </c>
      <c r="X446" s="4">
        <f t="shared" si="140"/>
        <v>687.59811616954471</v>
      </c>
      <c r="Y446" s="4">
        <f t="shared" si="141"/>
        <v>0.85949764521193084</v>
      </c>
      <c r="AB446" s="5">
        <f t="shared" si="142"/>
        <v>45292</v>
      </c>
      <c r="AC446" s="5">
        <f t="shared" si="143"/>
        <v>45657</v>
      </c>
      <c r="AD446" s="1">
        <v>17</v>
      </c>
      <c r="AE446" s="1">
        <f t="shared" si="144"/>
        <v>0</v>
      </c>
      <c r="AF446" s="1">
        <f t="shared" si="145"/>
        <v>0</v>
      </c>
      <c r="AG446" s="1">
        <f t="shared" si="146"/>
        <v>0</v>
      </c>
      <c r="AH446" s="1">
        <f t="shared" si="147"/>
        <v>0</v>
      </c>
      <c r="AI446" s="1">
        <f t="shared" si="148"/>
        <v>183</v>
      </c>
      <c r="AJ446" s="3">
        <f t="shared" si="149"/>
        <v>0.5</v>
      </c>
      <c r="AK446" s="3">
        <f t="shared" si="150"/>
        <v>0.42974882260596542</v>
      </c>
      <c r="AL446" s="3">
        <f t="shared" si="151"/>
        <v>3.6528649921507061</v>
      </c>
      <c r="AM446" s="3">
        <f t="shared" si="152"/>
        <v>9.1321624803767651</v>
      </c>
      <c r="AN446" s="3">
        <f t="shared" si="153"/>
        <v>0</v>
      </c>
      <c r="AO446" s="3">
        <f t="shared" si="154"/>
        <v>9.1321624803767651</v>
      </c>
      <c r="AP446" s="1" t="str">
        <f>INDEX({"EAD";"EAD";"EAD";"EAD MOOC";"EAD";"EAD";"EAD FP";"EAD";"PRESENCIAL";"PRESENCIAL";"PRESENCIAL";"PRESENCIAL"}, MATCH(CONCATENATE(E446, ".", F446),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47" spans="1:42" x14ac:dyDescent="0.25">
      <c r="A447" s="1" t="s">
        <v>27</v>
      </c>
      <c r="B447" s="1" t="s">
        <v>43</v>
      </c>
      <c r="C447" s="1" t="s">
        <v>29</v>
      </c>
      <c r="D447" s="1" t="s">
        <v>44</v>
      </c>
      <c r="E447" s="1" t="s">
        <v>120</v>
      </c>
      <c r="F447" s="1" t="s">
        <v>21</v>
      </c>
      <c r="G447" s="1" t="s">
        <v>140</v>
      </c>
      <c r="H447" s="1" t="s">
        <v>529</v>
      </c>
      <c r="I447" s="1" t="s">
        <v>289</v>
      </c>
      <c r="J447" s="1" t="s">
        <v>125</v>
      </c>
      <c r="K447" s="1" t="s">
        <v>109</v>
      </c>
      <c r="L447" s="1">
        <v>2676070</v>
      </c>
      <c r="M447" s="1" t="s">
        <v>654</v>
      </c>
      <c r="N447" s="5">
        <f t="shared" si="158"/>
        <v>43864</v>
      </c>
      <c r="O447" s="5">
        <f>DATE(2023,7,30)</f>
        <v>45137</v>
      </c>
      <c r="P447" s="5">
        <f t="shared" si="135"/>
        <v>46232</v>
      </c>
      <c r="Q447" s="1">
        <v>2642</v>
      </c>
      <c r="R447" s="1">
        <v>2400</v>
      </c>
      <c r="S447" s="1">
        <f t="shared" si="136"/>
        <v>2400</v>
      </c>
      <c r="T447" s="1">
        <v>2.5</v>
      </c>
      <c r="U447" s="1" t="str">
        <f t="shared" si="137"/>
        <v>SIM</v>
      </c>
      <c r="V447" s="1">
        <f t="shared" si="138"/>
        <v>1274</v>
      </c>
      <c r="W447" s="4">
        <f t="shared" si="139"/>
        <v>1.8838304552590266</v>
      </c>
      <c r="X447" s="4">
        <f t="shared" si="140"/>
        <v>687.59811616954471</v>
      </c>
      <c r="Y447" s="4">
        <f t="shared" si="141"/>
        <v>0.85949764521193084</v>
      </c>
      <c r="AB447" s="5">
        <f t="shared" si="142"/>
        <v>45292</v>
      </c>
      <c r="AC447" s="5">
        <f t="shared" si="143"/>
        <v>45657</v>
      </c>
      <c r="AD447" s="1">
        <v>16</v>
      </c>
      <c r="AE447" s="1">
        <f t="shared" si="144"/>
        <v>0</v>
      </c>
      <c r="AF447" s="1">
        <f t="shared" si="145"/>
        <v>0</v>
      </c>
      <c r="AG447" s="1">
        <f t="shared" si="146"/>
        <v>0</v>
      </c>
      <c r="AH447" s="1">
        <f t="shared" si="147"/>
        <v>0</v>
      </c>
      <c r="AI447" s="1">
        <f t="shared" si="148"/>
        <v>183</v>
      </c>
      <c r="AJ447" s="3">
        <f t="shared" si="149"/>
        <v>0.5</v>
      </c>
      <c r="AK447" s="3">
        <f t="shared" si="150"/>
        <v>0.42974882260596542</v>
      </c>
      <c r="AL447" s="3">
        <f t="shared" si="151"/>
        <v>3.4379905808477234</v>
      </c>
      <c r="AM447" s="3">
        <f t="shared" si="152"/>
        <v>8.5949764521193082</v>
      </c>
      <c r="AN447" s="3">
        <f t="shared" si="153"/>
        <v>0</v>
      </c>
      <c r="AO447" s="3">
        <f t="shared" si="154"/>
        <v>8.5949764521193082</v>
      </c>
      <c r="AP447" s="1" t="str">
        <f>INDEX({"EAD";"EAD";"EAD";"EAD MOOC";"EAD";"EAD";"EAD FP";"EAD";"PRESENCIAL";"PRESENCIAL";"PRESENCIAL";"PRESENCIAL"}, MATCH(CONCATENATE(E447, ".", F447),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48" spans="1:42" x14ac:dyDescent="0.25">
      <c r="A448" s="1" t="s">
        <v>27</v>
      </c>
      <c r="B448" s="1" t="s">
        <v>43</v>
      </c>
      <c r="C448" s="1" t="s">
        <v>29</v>
      </c>
      <c r="D448" s="1" t="s">
        <v>44</v>
      </c>
      <c r="E448" s="1" t="s">
        <v>120</v>
      </c>
      <c r="F448" s="1" t="s">
        <v>21</v>
      </c>
      <c r="G448" s="1" t="s">
        <v>140</v>
      </c>
      <c r="H448" s="1" t="s">
        <v>534</v>
      </c>
      <c r="I448" s="1" t="s">
        <v>289</v>
      </c>
      <c r="J448" s="1" t="s">
        <v>125</v>
      </c>
      <c r="K448" s="1" t="s">
        <v>109</v>
      </c>
      <c r="L448" s="1">
        <v>2676071</v>
      </c>
      <c r="M448" s="1" t="s">
        <v>655</v>
      </c>
      <c r="N448" s="5">
        <f t="shared" si="158"/>
        <v>43864</v>
      </c>
      <c r="O448" s="5">
        <f>DATE(2022,12,23)</f>
        <v>44918</v>
      </c>
      <c r="P448" s="5">
        <f t="shared" si="135"/>
        <v>46013</v>
      </c>
      <c r="Q448" s="1">
        <v>2548</v>
      </c>
      <c r="R448" s="1">
        <v>2400</v>
      </c>
      <c r="S448" s="1">
        <f t="shared" si="136"/>
        <v>2400</v>
      </c>
      <c r="T448" s="1">
        <v>2.5</v>
      </c>
      <c r="U448" s="1" t="str">
        <f t="shared" si="137"/>
        <v>SIM</v>
      </c>
      <c r="V448" s="1">
        <f t="shared" si="138"/>
        <v>1055</v>
      </c>
      <c r="W448" s="4">
        <f t="shared" si="139"/>
        <v>2.2748815165876777</v>
      </c>
      <c r="X448" s="4">
        <f t="shared" si="140"/>
        <v>830.33175355450237</v>
      </c>
      <c r="Y448" s="4">
        <f t="shared" si="141"/>
        <v>1.0379146919431279</v>
      </c>
      <c r="AB448" s="5">
        <f t="shared" si="142"/>
        <v>45292</v>
      </c>
      <c r="AC448" s="5">
        <f t="shared" si="143"/>
        <v>45657</v>
      </c>
      <c r="AD448" s="1">
        <v>15</v>
      </c>
      <c r="AE448" s="1">
        <f t="shared" si="144"/>
        <v>0</v>
      </c>
      <c r="AF448" s="1">
        <f t="shared" si="145"/>
        <v>0</v>
      </c>
      <c r="AG448" s="1">
        <f t="shared" si="146"/>
        <v>0</v>
      </c>
      <c r="AH448" s="1">
        <f t="shared" si="147"/>
        <v>0</v>
      </c>
      <c r="AI448" s="1">
        <f t="shared" si="148"/>
        <v>183</v>
      </c>
      <c r="AJ448" s="3">
        <f t="shared" si="149"/>
        <v>0.5</v>
      </c>
      <c r="AK448" s="3">
        <f t="shared" si="150"/>
        <v>0.51895734597156395</v>
      </c>
      <c r="AL448" s="3">
        <f t="shared" si="151"/>
        <v>3.8921800947867298</v>
      </c>
      <c r="AM448" s="3">
        <f t="shared" si="152"/>
        <v>9.7304502369668242</v>
      </c>
      <c r="AN448" s="3">
        <f t="shared" si="153"/>
        <v>0</v>
      </c>
      <c r="AO448" s="3">
        <f t="shared" si="154"/>
        <v>9.7304502369668242</v>
      </c>
      <c r="AP448" s="1" t="str">
        <f>INDEX({"EAD";"EAD";"EAD";"EAD MOOC";"EAD";"EAD";"EAD FP";"EAD";"PRESENCIAL";"PRESENCIAL";"PRESENCIAL";"PRESENCIAL"}, MATCH(CONCATENATE(E448, ".", F448),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49" spans="1:42" x14ac:dyDescent="0.25">
      <c r="A449" s="1" t="s">
        <v>27</v>
      </c>
      <c r="B449" s="1" t="s">
        <v>43</v>
      </c>
      <c r="C449" s="1" t="s">
        <v>29</v>
      </c>
      <c r="D449" s="1" t="s">
        <v>44</v>
      </c>
      <c r="E449" s="1" t="s">
        <v>120</v>
      </c>
      <c r="F449" s="1" t="s">
        <v>21</v>
      </c>
      <c r="G449" s="1" t="s">
        <v>140</v>
      </c>
      <c r="H449" s="1" t="s">
        <v>550</v>
      </c>
      <c r="I449" s="1" t="s">
        <v>209</v>
      </c>
      <c r="J449" s="1" t="s">
        <v>125</v>
      </c>
      <c r="K449" s="1" t="s">
        <v>109</v>
      </c>
      <c r="L449" s="1">
        <v>2676072</v>
      </c>
      <c r="M449" s="1" t="s">
        <v>656</v>
      </c>
      <c r="N449" s="5">
        <f t="shared" si="158"/>
        <v>43864</v>
      </c>
      <c r="O449" s="5">
        <f>DATE(2022,12,23)</f>
        <v>44918</v>
      </c>
      <c r="P449" s="5">
        <f t="shared" si="135"/>
        <v>46013</v>
      </c>
      <c r="Q449" s="1">
        <v>2130</v>
      </c>
      <c r="R449" s="1">
        <v>2000</v>
      </c>
      <c r="S449" s="1">
        <f t="shared" si="136"/>
        <v>2000</v>
      </c>
      <c r="T449" s="1">
        <v>1.5</v>
      </c>
      <c r="U449" s="1" t="str">
        <f t="shared" si="137"/>
        <v>SIM</v>
      </c>
      <c r="V449" s="1">
        <f t="shared" si="138"/>
        <v>1055</v>
      </c>
      <c r="W449" s="4">
        <f t="shared" si="139"/>
        <v>1.8957345971563981</v>
      </c>
      <c r="X449" s="4">
        <f t="shared" si="140"/>
        <v>691.94312796208533</v>
      </c>
      <c r="Y449" s="4">
        <f t="shared" si="141"/>
        <v>0.86492890995260663</v>
      </c>
      <c r="AB449" s="5">
        <f t="shared" si="142"/>
        <v>45292</v>
      </c>
      <c r="AC449" s="5">
        <f t="shared" si="143"/>
        <v>45657</v>
      </c>
      <c r="AD449" s="1">
        <v>9</v>
      </c>
      <c r="AE449" s="1">
        <f t="shared" si="144"/>
        <v>0</v>
      </c>
      <c r="AF449" s="1">
        <f t="shared" si="145"/>
        <v>0</v>
      </c>
      <c r="AG449" s="1">
        <f t="shared" si="146"/>
        <v>0</v>
      </c>
      <c r="AH449" s="1">
        <f t="shared" si="147"/>
        <v>0</v>
      </c>
      <c r="AI449" s="1">
        <f t="shared" si="148"/>
        <v>183</v>
      </c>
      <c r="AJ449" s="3">
        <f t="shared" si="149"/>
        <v>0.5</v>
      </c>
      <c r="AK449" s="3">
        <f t="shared" si="150"/>
        <v>0.43246445497630331</v>
      </c>
      <c r="AL449" s="3">
        <f t="shared" si="151"/>
        <v>1.9460900473933649</v>
      </c>
      <c r="AM449" s="3">
        <f t="shared" si="152"/>
        <v>2.9191350710900474</v>
      </c>
      <c r="AN449" s="3">
        <f t="shared" si="153"/>
        <v>0</v>
      </c>
      <c r="AO449" s="3">
        <f t="shared" si="154"/>
        <v>2.9191350710900474</v>
      </c>
      <c r="AP449" s="1" t="str">
        <f>INDEX({"EAD";"EAD";"EAD";"EAD MOOC";"EAD";"EAD";"EAD FP";"EAD";"PRESENCIAL";"PRESENCIAL";"PRESENCIAL";"PRESENCIAL"}, MATCH(CONCATENATE(E449, ".", F449),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50" spans="1:42" x14ac:dyDescent="0.25">
      <c r="A450" s="1" t="s">
        <v>27</v>
      </c>
      <c r="B450" s="1" t="s">
        <v>43</v>
      </c>
      <c r="C450" s="1" t="s">
        <v>29</v>
      </c>
      <c r="D450" s="1" t="s">
        <v>44</v>
      </c>
      <c r="E450" s="1" t="s">
        <v>120</v>
      </c>
      <c r="F450" s="1" t="s">
        <v>21</v>
      </c>
      <c r="G450" s="1" t="s">
        <v>140</v>
      </c>
      <c r="H450" s="1" t="s">
        <v>500</v>
      </c>
      <c r="I450" s="1" t="s">
        <v>209</v>
      </c>
      <c r="J450" s="1" t="s">
        <v>125</v>
      </c>
      <c r="K450" s="1" t="s">
        <v>109</v>
      </c>
      <c r="L450" s="1">
        <v>2676073</v>
      </c>
      <c r="M450" s="1" t="s">
        <v>657</v>
      </c>
      <c r="N450" s="5">
        <f t="shared" si="158"/>
        <v>43864</v>
      </c>
      <c r="O450" s="5">
        <f>DATE(2022,12,23)</f>
        <v>44918</v>
      </c>
      <c r="P450" s="5">
        <f t="shared" si="135"/>
        <v>46013</v>
      </c>
      <c r="Q450" s="1">
        <v>2130</v>
      </c>
      <c r="R450" s="1">
        <v>2000</v>
      </c>
      <c r="S450" s="1">
        <f t="shared" si="136"/>
        <v>2000</v>
      </c>
      <c r="T450" s="1">
        <v>1</v>
      </c>
      <c r="U450" s="1" t="str">
        <f t="shared" si="137"/>
        <v>SIM</v>
      </c>
      <c r="V450" s="1">
        <f t="shared" si="138"/>
        <v>1055</v>
      </c>
      <c r="W450" s="4">
        <f t="shared" si="139"/>
        <v>1.8957345971563981</v>
      </c>
      <c r="X450" s="4">
        <f t="shared" si="140"/>
        <v>691.94312796208533</v>
      </c>
      <c r="Y450" s="4">
        <f t="shared" si="141"/>
        <v>0.86492890995260663</v>
      </c>
      <c r="AB450" s="5">
        <f t="shared" si="142"/>
        <v>45292</v>
      </c>
      <c r="AC450" s="5">
        <f t="shared" si="143"/>
        <v>45657</v>
      </c>
      <c r="AD450" s="1">
        <v>11</v>
      </c>
      <c r="AE450" s="1">
        <f t="shared" si="144"/>
        <v>0</v>
      </c>
      <c r="AF450" s="1">
        <f t="shared" si="145"/>
        <v>0</v>
      </c>
      <c r="AG450" s="1">
        <f t="shared" si="146"/>
        <v>0</v>
      </c>
      <c r="AH450" s="1">
        <f t="shared" si="147"/>
        <v>0</v>
      </c>
      <c r="AI450" s="1">
        <f t="shared" si="148"/>
        <v>183</v>
      </c>
      <c r="AJ450" s="3">
        <f t="shared" si="149"/>
        <v>0.5</v>
      </c>
      <c r="AK450" s="3">
        <f t="shared" si="150"/>
        <v>0.43246445497630331</v>
      </c>
      <c r="AL450" s="3">
        <f t="shared" si="151"/>
        <v>2.3785545023696684</v>
      </c>
      <c r="AM450" s="3">
        <f t="shared" si="152"/>
        <v>2.3785545023696684</v>
      </c>
      <c r="AN450" s="3">
        <f t="shared" si="153"/>
        <v>0</v>
      </c>
      <c r="AO450" s="3">
        <f t="shared" si="154"/>
        <v>2.3785545023696684</v>
      </c>
      <c r="AP450" s="1" t="str">
        <f>INDEX({"EAD";"EAD";"EAD";"EAD MOOC";"EAD";"EAD";"EAD FP";"EAD";"PRESENCIAL";"PRESENCIAL";"PRESENCIAL";"PRESENCIAL"}, MATCH(CONCATENATE(E450, ".", F450),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51" spans="1:42" x14ac:dyDescent="0.25">
      <c r="A451" s="1" t="s">
        <v>27</v>
      </c>
      <c r="B451" s="1" t="s">
        <v>43</v>
      </c>
      <c r="C451" s="1" t="s">
        <v>29</v>
      </c>
      <c r="D451" s="1" t="s">
        <v>44</v>
      </c>
      <c r="E451" s="1" t="s">
        <v>120</v>
      </c>
      <c r="F451" s="1" t="s">
        <v>21</v>
      </c>
      <c r="G451" s="1" t="s">
        <v>121</v>
      </c>
      <c r="H451" s="1" t="s">
        <v>506</v>
      </c>
      <c r="I451" s="1" t="s">
        <v>209</v>
      </c>
      <c r="J451" s="1" t="s">
        <v>125</v>
      </c>
      <c r="K451" s="1" t="s">
        <v>109</v>
      </c>
      <c r="L451" s="1">
        <v>2676075</v>
      </c>
      <c r="M451" s="1" t="s">
        <v>658</v>
      </c>
      <c r="N451" s="5">
        <f t="shared" si="158"/>
        <v>43864</v>
      </c>
      <c r="O451" s="5">
        <f>DATE(2024,12,23)</f>
        <v>45649</v>
      </c>
      <c r="P451" s="5">
        <f t="shared" si="135"/>
        <v>46744</v>
      </c>
      <c r="Q451" s="1">
        <v>4460</v>
      </c>
      <c r="R451" s="1">
        <v>3200</v>
      </c>
      <c r="S451" s="1">
        <f t="shared" si="136"/>
        <v>3200</v>
      </c>
      <c r="T451" s="1">
        <v>2.5</v>
      </c>
      <c r="U451" s="1" t="str">
        <f t="shared" si="137"/>
        <v>SIM</v>
      </c>
      <c r="V451" s="1">
        <f t="shared" si="138"/>
        <v>1786</v>
      </c>
      <c r="W451" s="4">
        <f t="shared" si="139"/>
        <v>1.7917133258678613</v>
      </c>
      <c r="X451" s="4">
        <f t="shared" si="140"/>
        <v>653.97536394176939</v>
      </c>
      <c r="Y451" s="4">
        <f t="shared" si="141"/>
        <v>0.81746920492721176</v>
      </c>
      <c r="AB451" s="5">
        <f t="shared" si="142"/>
        <v>45292</v>
      </c>
      <c r="AC451" s="5">
        <f t="shared" si="143"/>
        <v>45657</v>
      </c>
      <c r="AD451" s="1">
        <v>19</v>
      </c>
      <c r="AE451" s="1">
        <f t="shared" si="144"/>
        <v>0</v>
      </c>
      <c r="AF451" s="1">
        <f t="shared" si="145"/>
        <v>0</v>
      </c>
      <c r="AG451" s="1">
        <f t="shared" si="146"/>
        <v>358</v>
      </c>
      <c r="AH451" s="1">
        <f t="shared" si="147"/>
        <v>0</v>
      </c>
      <c r="AI451" s="1">
        <f t="shared" si="148"/>
        <v>0</v>
      </c>
      <c r="AJ451" s="3">
        <f t="shared" si="149"/>
        <v>0.97814207650273222</v>
      </c>
      <c r="AK451" s="3">
        <f t="shared" si="150"/>
        <v>0.79960102558454049</v>
      </c>
      <c r="AL451" s="3">
        <f t="shared" si="151"/>
        <v>15.192419486106269</v>
      </c>
      <c r="AM451" s="3">
        <f t="shared" si="152"/>
        <v>37.981048715265672</v>
      </c>
      <c r="AN451" s="3">
        <f t="shared" si="153"/>
        <v>0</v>
      </c>
      <c r="AO451" s="3">
        <f t="shared" si="154"/>
        <v>37.981048715265672</v>
      </c>
      <c r="AP451" s="1" t="str">
        <f>INDEX({"EAD";"EAD";"EAD";"EAD MOOC";"EAD";"EAD";"EAD FP";"EAD";"PRESENCIAL";"PRESENCIAL";"PRESENCIAL";"PRESENCIAL"}, MATCH(CONCATENATE(E451, ".", F451),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52" spans="1:42" x14ac:dyDescent="0.25">
      <c r="A452" s="1" t="s">
        <v>27</v>
      </c>
      <c r="B452" s="1" t="s">
        <v>43</v>
      </c>
      <c r="C452" s="1" t="s">
        <v>29</v>
      </c>
      <c r="D452" s="1" t="s">
        <v>44</v>
      </c>
      <c r="E452" s="1" t="s">
        <v>120</v>
      </c>
      <c r="F452" s="1" t="s">
        <v>21</v>
      </c>
      <c r="G452" s="1" t="s">
        <v>121</v>
      </c>
      <c r="H452" s="1" t="s">
        <v>508</v>
      </c>
      <c r="I452" s="1" t="s">
        <v>503</v>
      </c>
      <c r="J452" s="1" t="s">
        <v>125</v>
      </c>
      <c r="K452" s="1" t="s">
        <v>109</v>
      </c>
      <c r="L452" s="1">
        <v>2676076</v>
      </c>
      <c r="M452" s="1" t="s">
        <v>659</v>
      </c>
      <c r="N452" s="5">
        <f t="shared" si="158"/>
        <v>43864</v>
      </c>
      <c r="O452" s="5">
        <f>DATE(2024,12,23)</f>
        <v>45649</v>
      </c>
      <c r="P452" s="5">
        <f t="shared" ref="P452:P515" si="159">IF(G452="QUALIFICACAO PROFISSIONAL (FIC)",O452,O452+1095)</f>
        <v>46744</v>
      </c>
      <c r="Q452" s="1">
        <v>4610</v>
      </c>
      <c r="R452" s="1">
        <v>3600</v>
      </c>
      <c r="S452" s="1">
        <f t="shared" ref="S452:S515" si="160">IF(OR(G452="QUALIFICACAO PROFISSIONAL (FIC)",G452="DOUTORADO"),Q452,    IF(ISNUMBER(FIND("PROEJA",K452)),2400,        IF(K452="INTEGRADO",            IF(R452=800,3000,                IF(R452=1000,3100,                    IF(R452=1200,3200,R452)                )            ),            R452        )    ))</f>
        <v>3600</v>
      </c>
      <c r="T452" s="1">
        <v>2.5</v>
      </c>
      <c r="U452" s="1" t="str">
        <f t="shared" ref="U452:U515" si="161">IF(P452&lt;AB452,"NÃO","SIM")</f>
        <v>SIM</v>
      </c>
      <c r="V452" s="1">
        <f t="shared" ref="V452:V515" si="162">O452-N452+1</f>
        <v>1786</v>
      </c>
      <c r="W452" s="4">
        <f t="shared" ref="W452:W515" si="163">IF(S452&gt;Q452,Q452,S452)/V452</f>
        <v>2.0156774916013438</v>
      </c>
      <c r="X452" s="4">
        <f t="shared" ref="X452:X515" si="164">IF(V452&gt;365,W452*365,S452)</f>
        <v>735.72228443449046</v>
      </c>
      <c r="Y452" s="4">
        <f t="shared" ref="Y452:Y515" si="165">IF(V452&gt;365,X452/800,S452/800)</f>
        <v>0.91965285554311305</v>
      </c>
      <c r="AB452" s="5">
        <f t="shared" ref="AB452:AB515" si="166">DATE(2024,1,1)</f>
        <v>45292</v>
      </c>
      <c r="AC452" s="5">
        <f t="shared" ref="AC452:AC515" si="167">DATE(2024,12,31)</f>
        <v>45657</v>
      </c>
      <c r="AD452" s="1">
        <v>21</v>
      </c>
      <c r="AE452" s="1">
        <f t="shared" ref="AE452:AE515" si="168">IF(AND(N452&lt;AB452,O452&gt;AC452),AC452-AB452+1,0)</f>
        <v>0</v>
      </c>
      <c r="AF452" s="1">
        <f t="shared" ref="AF452:AF515" si="169">IF(AND(N452&gt;=AB452,O452&gt;AC452,N452&lt;AC452),AC452-N452+1,0)</f>
        <v>0</v>
      </c>
      <c r="AG452" s="1">
        <f t="shared" ref="AG452:AG515" si="170">IF(AND(N452&lt;AB452,O452&lt;=AC452,O452&gt;=AB452),O452-AB452+1,0)</f>
        <v>358</v>
      </c>
      <c r="AH452" s="1">
        <f t="shared" ref="AH452:AH515" si="171">IF(AND(N452&gt;=AB452,O452&lt;=AC452),O452-N452+1,0)</f>
        <v>0</v>
      </c>
      <c r="AI452" s="1">
        <f t="shared" ref="AI452:AI515" si="172">IF(AND(N452&lt;AB452,O452&lt;AB452),(AC452-AB452+1)/2,0)</f>
        <v>0</v>
      </c>
      <c r="AJ452" s="3">
        <f t="shared" ref="AJ452:AJ515" si="173">SUM(AE452:AI452)/IF(V452&gt;=365,AC452-AB452+1,V452)</f>
        <v>0.97814207650273222</v>
      </c>
      <c r="AK452" s="3">
        <f t="shared" ref="AK452:AK515" si="174">Y452*AJ452</f>
        <v>0.89955115378260786</v>
      </c>
      <c r="AL452" s="3">
        <f t="shared" ref="AL452:AL515" si="175">IF(AI452=0,AK452*AD452,IF(U452="SIM",AK452*(AD452/2),0))</f>
        <v>18.890574229434765</v>
      </c>
      <c r="AM452" s="3">
        <f t="shared" ref="AM452:AM515" si="176">AL452*T452</f>
        <v>47.226435573586912</v>
      </c>
      <c r="AN452" s="3">
        <f t="shared" ref="AN452:AN515" si="177">IF(J452="SIM",AM452*50%,0)</f>
        <v>0</v>
      </c>
      <c r="AO452" s="3">
        <f t="shared" ref="AO452:AO515" si="178">IF(U452="SIM",AM452+AN452,0)</f>
        <v>47.226435573586912</v>
      </c>
      <c r="AP452" s="1" t="str">
        <f>INDEX({"EAD";"EAD";"EAD";"EAD MOOC";"EAD";"EAD";"EAD FP";"EAD";"PRESENCIAL";"PRESENCIAL";"PRESENCIAL";"PRESENCIAL"}, MATCH(CONCATENATE(E452, ".", F452),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53" spans="1:42" x14ac:dyDescent="0.25">
      <c r="A453" s="1" t="s">
        <v>27</v>
      </c>
      <c r="B453" s="1" t="s">
        <v>43</v>
      </c>
      <c r="C453" s="1" t="s">
        <v>29</v>
      </c>
      <c r="D453" s="1" t="s">
        <v>44</v>
      </c>
      <c r="E453" s="1" t="s">
        <v>120</v>
      </c>
      <c r="F453" s="1" t="s">
        <v>21</v>
      </c>
      <c r="G453" s="1" t="s">
        <v>121</v>
      </c>
      <c r="H453" s="1" t="s">
        <v>495</v>
      </c>
      <c r="I453" s="1" t="s">
        <v>124</v>
      </c>
      <c r="J453" s="1" t="s">
        <v>125</v>
      </c>
      <c r="K453" s="1" t="s">
        <v>109</v>
      </c>
      <c r="L453" s="1">
        <v>2676077</v>
      </c>
      <c r="M453" s="1" t="s">
        <v>660</v>
      </c>
      <c r="N453" s="5">
        <f t="shared" si="158"/>
        <v>43864</v>
      </c>
      <c r="O453" s="5">
        <f>DATE(2022,12,23)</f>
        <v>44918</v>
      </c>
      <c r="P453" s="5">
        <f t="shared" si="159"/>
        <v>46013</v>
      </c>
      <c r="Q453" s="1">
        <v>2587</v>
      </c>
      <c r="R453" s="1">
        <v>2400</v>
      </c>
      <c r="S453" s="1">
        <f t="shared" si="160"/>
        <v>2400</v>
      </c>
      <c r="T453" s="1">
        <v>1</v>
      </c>
      <c r="U453" s="1" t="str">
        <f t="shared" si="161"/>
        <v>SIM</v>
      </c>
      <c r="V453" s="1">
        <f t="shared" si="162"/>
        <v>1055</v>
      </c>
      <c r="W453" s="4">
        <f t="shared" si="163"/>
        <v>2.2748815165876777</v>
      </c>
      <c r="X453" s="4">
        <f t="shared" si="164"/>
        <v>830.33175355450237</v>
      </c>
      <c r="Y453" s="4">
        <f t="shared" si="165"/>
        <v>1.0379146919431279</v>
      </c>
      <c r="AB453" s="5">
        <f t="shared" si="166"/>
        <v>45292</v>
      </c>
      <c r="AC453" s="5">
        <f t="shared" si="167"/>
        <v>45657</v>
      </c>
      <c r="AD453" s="1">
        <v>24</v>
      </c>
      <c r="AE453" s="1">
        <f t="shared" si="168"/>
        <v>0</v>
      </c>
      <c r="AF453" s="1">
        <f t="shared" si="169"/>
        <v>0</v>
      </c>
      <c r="AG453" s="1">
        <f t="shared" si="170"/>
        <v>0</v>
      </c>
      <c r="AH453" s="1">
        <f t="shared" si="171"/>
        <v>0</v>
      </c>
      <c r="AI453" s="1">
        <f t="shared" si="172"/>
        <v>183</v>
      </c>
      <c r="AJ453" s="3">
        <f t="shared" si="173"/>
        <v>0.5</v>
      </c>
      <c r="AK453" s="3">
        <f t="shared" si="174"/>
        <v>0.51895734597156395</v>
      </c>
      <c r="AL453" s="3">
        <f t="shared" si="175"/>
        <v>6.2274881516587675</v>
      </c>
      <c r="AM453" s="3">
        <f t="shared" si="176"/>
        <v>6.2274881516587675</v>
      </c>
      <c r="AN453" s="3">
        <f t="shared" si="177"/>
        <v>0</v>
      </c>
      <c r="AO453" s="3">
        <f t="shared" si="178"/>
        <v>6.2274881516587675</v>
      </c>
      <c r="AP453" s="1" t="str">
        <f>INDEX({"EAD";"EAD";"EAD";"EAD MOOC";"EAD";"EAD";"EAD FP";"EAD";"PRESENCIAL";"PRESENCIAL";"PRESENCIAL";"PRESENCIAL"}, MATCH(CONCATENATE(E453, ".", F453),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54" spans="1:42" x14ac:dyDescent="0.25">
      <c r="A454" s="1" t="s">
        <v>27</v>
      </c>
      <c r="B454" s="1" t="s">
        <v>43</v>
      </c>
      <c r="C454" s="1" t="s">
        <v>29</v>
      </c>
      <c r="D454" s="1" t="s">
        <v>44</v>
      </c>
      <c r="E454" s="1" t="s">
        <v>120</v>
      </c>
      <c r="F454" s="1" t="s">
        <v>21</v>
      </c>
      <c r="G454" s="1" t="s">
        <v>121</v>
      </c>
      <c r="H454" s="1" t="s">
        <v>537</v>
      </c>
      <c r="I454" s="1" t="s">
        <v>187</v>
      </c>
      <c r="J454" s="1" t="s">
        <v>125</v>
      </c>
      <c r="K454" s="1" t="s">
        <v>109</v>
      </c>
      <c r="L454" s="1">
        <v>2676078</v>
      </c>
      <c r="M454" s="1" t="s">
        <v>661</v>
      </c>
      <c r="N454" s="5">
        <f t="shared" si="158"/>
        <v>43864</v>
      </c>
      <c r="O454" s="5">
        <f>DATE(2022,12,23)</f>
        <v>44918</v>
      </c>
      <c r="P454" s="5">
        <f t="shared" si="159"/>
        <v>46013</v>
      </c>
      <c r="Q454" s="1">
        <v>2600</v>
      </c>
      <c r="R454" s="1">
        <v>2400</v>
      </c>
      <c r="S454" s="1">
        <f t="shared" si="160"/>
        <v>2400</v>
      </c>
      <c r="T454" s="1">
        <v>1</v>
      </c>
      <c r="U454" s="1" t="str">
        <f t="shared" si="161"/>
        <v>SIM</v>
      </c>
      <c r="V454" s="1">
        <f t="shared" si="162"/>
        <v>1055</v>
      </c>
      <c r="W454" s="4">
        <f t="shared" si="163"/>
        <v>2.2748815165876777</v>
      </c>
      <c r="X454" s="4">
        <f t="shared" si="164"/>
        <v>830.33175355450237</v>
      </c>
      <c r="Y454" s="4">
        <f t="shared" si="165"/>
        <v>1.0379146919431279</v>
      </c>
      <c r="AB454" s="5">
        <f t="shared" si="166"/>
        <v>45292</v>
      </c>
      <c r="AC454" s="5">
        <f t="shared" si="167"/>
        <v>45657</v>
      </c>
      <c r="AD454" s="1">
        <v>15</v>
      </c>
      <c r="AE454" s="1">
        <f t="shared" si="168"/>
        <v>0</v>
      </c>
      <c r="AF454" s="1">
        <f t="shared" si="169"/>
        <v>0</v>
      </c>
      <c r="AG454" s="1">
        <f t="shared" si="170"/>
        <v>0</v>
      </c>
      <c r="AH454" s="1">
        <f t="shared" si="171"/>
        <v>0</v>
      </c>
      <c r="AI454" s="1">
        <f t="shared" si="172"/>
        <v>183</v>
      </c>
      <c r="AJ454" s="3">
        <f t="shared" si="173"/>
        <v>0.5</v>
      </c>
      <c r="AK454" s="3">
        <f t="shared" si="174"/>
        <v>0.51895734597156395</v>
      </c>
      <c r="AL454" s="3">
        <f t="shared" si="175"/>
        <v>3.8921800947867298</v>
      </c>
      <c r="AM454" s="3">
        <f t="shared" si="176"/>
        <v>3.8921800947867298</v>
      </c>
      <c r="AN454" s="3">
        <f t="shared" si="177"/>
        <v>0</v>
      </c>
      <c r="AO454" s="3">
        <f t="shared" si="178"/>
        <v>3.8921800947867298</v>
      </c>
      <c r="AP454" s="1" t="str">
        <f>INDEX({"EAD";"EAD";"EAD";"EAD MOOC";"EAD";"EAD";"EAD FP";"EAD";"PRESENCIAL";"PRESENCIAL";"PRESENCIAL";"PRESENCIAL"}, MATCH(CONCATENATE(E454, ".", F454),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55" spans="1:42" x14ac:dyDescent="0.25">
      <c r="A455" s="1" t="s">
        <v>27</v>
      </c>
      <c r="B455" s="1" t="s">
        <v>43</v>
      </c>
      <c r="C455" s="1" t="s">
        <v>29</v>
      </c>
      <c r="D455" s="1" t="s">
        <v>44</v>
      </c>
      <c r="E455" s="1" t="s">
        <v>120</v>
      </c>
      <c r="F455" s="1" t="s">
        <v>21</v>
      </c>
      <c r="G455" s="1" t="s">
        <v>121</v>
      </c>
      <c r="H455" s="1" t="s">
        <v>662</v>
      </c>
      <c r="I455" s="1" t="s">
        <v>503</v>
      </c>
      <c r="J455" s="1" t="s">
        <v>125</v>
      </c>
      <c r="K455" s="1" t="s">
        <v>109</v>
      </c>
      <c r="L455" s="1">
        <v>2676104</v>
      </c>
      <c r="M455" s="1" t="s">
        <v>663</v>
      </c>
      <c r="N455" s="5">
        <f t="shared" si="158"/>
        <v>43864</v>
      </c>
      <c r="O455" s="5">
        <f>DATE(2024,12,23)</f>
        <v>45649</v>
      </c>
      <c r="P455" s="5">
        <f t="shared" si="159"/>
        <v>46744</v>
      </c>
      <c r="Q455" s="1">
        <v>3662</v>
      </c>
      <c r="R455" s="1">
        <v>3600</v>
      </c>
      <c r="S455" s="1">
        <f t="shared" si="160"/>
        <v>3600</v>
      </c>
      <c r="T455" s="1">
        <v>2.5</v>
      </c>
      <c r="U455" s="1" t="str">
        <f t="shared" si="161"/>
        <v>SIM</v>
      </c>
      <c r="V455" s="1">
        <f t="shared" si="162"/>
        <v>1786</v>
      </c>
      <c r="W455" s="4">
        <f t="shared" si="163"/>
        <v>2.0156774916013438</v>
      </c>
      <c r="X455" s="4">
        <f t="shared" si="164"/>
        <v>735.72228443449046</v>
      </c>
      <c r="Y455" s="4">
        <f t="shared" si="165"/>
        <v>0.91965285554311305</v>
      </c>
      <c r="AB455" s="5">
        <f t="shared" si="166"/>
        <v>45292</v>
      </c>
      <c r="AC455" s="5">
        <f t="shared" si="167"/>
        <v>45657</v>
      </c>
      <c r="AD455" s="1">
        <v>32</v>
      </c>
      <c r="AE455" s="1">
        <f t="shared" si="168"/>
        <v>0</v>
      </c>
      <c r="AF455" s="1">
        <f t="shared" si="169"/>
        <v>0</v>
      </c>
      <c r="AG455" s="1">
        <f t="shared" si="170"/>
        <v>358</v>
      </c>
      <c r="AH455" s="1">
        <f t="shared" si="171"/>
        <v>0</v>
      </c>
      <c r="AI455" s="1">
        <f t="shared" si="172"/>
        <v>0</v>
      </c>
      <c r="AJ455" s="3">
        <f t="shared" si="173"/>
        <v>0.97814207650273222</v>
      </c>
      <c r="AK455" s="3">
        <f t="shared" si="174"/>
        <v>0.89955115378260786</v>
      </c>
      <c r="AL455" s="3">
        <f t="shared" si="175"/>
        <v>28.785636921043452</v>
      </c>
      <c r="AM455" s="3">
        <f t="shared" si="176"/>
        <v>71.964092302608634</v>
      </c>
      <c r="AN455" s="3">
        <f t="shared" si="177"/>
        <v>0</v>
      </c>
      <c r="AO455" s="3">
        <f t="shared" si="178"/>
        <v>71.964092302608634</v>
      </c>
      <c r="AP455" s="1" t="str">
        <f>INDEX({"EAD";"EAD";"EAD";"EAD MOOC";"EAD";"EAD";"EAD FP";"EAD";"PRESENCIAL";"PRESENCIAL";"PRESENCIAL";"PRESENCIAL"}, MATCH(CONCATENATE(E455, ".", F455),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56" spans="1:42" x14ac:dyDescent="0.25">
      <c r="A456" s="1" t="s">
        <v>27</v>
      </c>
      <c r="B456" s="1" t="s">
        <v>43</v>
      </c>
      <c r="C456" s="1" t="s">
        <v>29</v>
      </c>
      <c r="D456" s="1" t="s">
        <v>44</v>
      </c>
      <c r="E456" s="1" t="s">
        <v>120</v>
      </c>
      <c r="F456" s="1" t="s">
        <v>21</v>
      </c>
      <c r="G456" s="1" t="s">
        <v>278</v>
      </c>
      <c r="H456" s="1" t="s">
        <v>629</v>
      </c>
      <c r="I456" s="1" t="s">
        <v>172</v>
      </c>
      <c r="J456" s="1" t="s">
        <v>125</v>
      </c>
      <c r="K456" s="1" t="s">
        <v>109</v>
      </c>
      <c r="L456" s="1">
        <v>2676106</v>
      </c>
      <c r="M456" s="1" t="s">
        <v>664</v>
      </c>
      <c r="N456" s="5">
        <f t="shared" si="158"/>
        <v>43864</v>
      </c>
      <c r="O456" s="5">
        <f>DATE(2023,12,23)</f>
        <v>45283</v>
      </c>
      <c r="P456" s="5">
        <f t="shared" si="159"/>
        <v>46378</v>
      </c>
      <c r="Q456" s="1">
        <v>3804</v>
      </c>
      <c r="R456" s="1">
        <v>3200</v>
      </c>
      <c r="S456" s="1">
        <f t="shared" si="160"/>
        <v>3200</v>
      </c>
      <c r="T456" s="1">
        <v>2.5</v>
      </c>
      <c r="U456" s="1" t="str">
        <f t="shared" si="161"/>
        <v>SIM</v>
      </c>
      <c r="V456" s="1">
        <f t="shared" si="162"/>
        <v>1420</v>
      </c>
      <c r="W456" s="4">
        <f t="shared" si="163"/>
        <v>2.2535211267605635</v>
      </c>
      <c r="X456" s="4">
        <f t="shared" si="164"/>
        <v>822.53521126760563</v>
      </c>
      <c r="Y456" s="4">
        <f t="shared" si="165"/>
        <v>1.028169014084507</v>
      </c>
      <c r="AB456" s="5">
        <f t="shared" si="166"/>
        <v>45292</v>
      </c>
      <c r="AC456" s="5">
        <f t="shared" si="167"/>
        <v>45657</v>
      </c>
      <c r="AD456" s="1">
        <v>14</v>
      </c>
      <c r="AE456" s="1">
        <f t="shared" si="168"/>
        <v>0</v>
      </c>
      <c r="AF456" s="1">
        <f t="shared" si="169"/>
        <v>0</v>
      </c>
      <c r="AG456" s="1">
        <f t="shared" si="170"/>
        <v>0</v>
      </c>
      <c r="AH456" s="1">
        <f t="shared" si="171"/>
        <v>0</v>
      </c>
      <c r="AI456" s="1">
        <f t="shared" si="172"/>
        <v>183</v>
      </c>
      <c r="AJ456" s="3">
        <f t="shared" si="173"/>
        <v>0.5</v>
      </c>
      <c r="AK456" s="3">
        <f t="shared" si="174"/>
        <v>0.5140845070422535</v>
      </c>
      <c r="AL456" s="3">
        <f t="shared" si="175"/>
        <v>3.5985915492957745</v>
      </c>
      <c r="AM456" s="3">
        <f t="shared" si="176"/>
        <v>8.9964788732394361</v>
      </c>
      <c r="AN456" s="3">
        <f t="shared" si="177"/>
        <v>0</v>
      </c>
      <c r="AO456" s="3">
        <f t="shared" si="178"/>
        <v>8.9964788732394361</v>
      </c>
      <c r="AP456" s="1" t="str">
        <f>INDEX({"EAD";"EAD";"EAD";"EAD MOOC";"EAD";"EAD";"EAD FP";"EAD";"PRESENCIAL";"PRESENCIAL";"PRESENCIAL";"PRESENCIAL"}, MATCH(CONCATENATE(E456, ".", F456),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57" spans="1:42" x14ac:dyDescent="0.25">
      <c r="A457" s="1" t="s">
        <v>27</v>
      </c>
      <c r="B457" s="1" t="s">
        <v>43</v>
      </c>
      <c r="C457" s="1" t="s">
        <v>29</v>
      </c>
      <c r="D457" s="1" t="s">
        <v>44</v>
      </c>
      <c r="E457" s="1" t="s">
        <v>120</v>
      </c>
      <c r="F457" s="1" t="s">
        <v>21</v>
      </c>
      <c r="G457" s="1" t="s">
        <v>665</v>
      </c>
      <c r="H457" s="1" t="s">
        <v>666</v>
      </c>
      <c r="I457" s="1" t="s">
        <v>172</v>
      </c>
      <c r="J457" s="1" t="s">
        <v>125</v>
      </c>
      <c r="K457" s="1" t="s">
        <v>109</v>
      </c>
      <c r="L457" s="1">
        <v>2791716</v>
      </c>
      <c r="M457" s="1" t="s">
        <v>667</v>
      </c>
      <c r="N457" s="5">
        <f>DATE(2021,4,9)</f>
        <v>44295</v>
      </c>
      <c r="O457" s="5">
        <f>DATE(2023,3,29)</f>
        <v>45014</v>
      </c>
      <c r="P457" s="5">
        <f t="shared" si="159"/>
        <v>46109</v>
      </c>
      <c r="Q457" s="1">
        <v>480</v>
      </c>
      <c r="R457" s="1">
        <v>360</v>
      </c>
      <c r="S457" s="1">
        <f t="shared" si="160"/>
        <v>360</v>
      </c>
      <c r="T457" s="1">
        <v>3.75</v>
      </c>
      <c r="U457" s="1" t="str">
        <f t="shared" si="161"/>
        <v>SIM</v>
      </c>
      <c r="V457" s="1">
        <f t="shared" si="162"/>
        <v>720</v>
      </c>
      <c r="W457" s="4">
        <f t="shared" si="163"/>
        <v>0.5</v>
      </c>
      <c r="X457" s="4">
        <f t="shared" si="164"/>
        <v>182.5</v>
      </c>
      <c r="Y457" s="4">
        <f t="shared" si="165"/>
        <v>0.22812499999999999</v>
      </c>
      <c r="AB457" s="5">
        <f t="shared" si="166"/>
        <v>45292</v>
      </c>
      <c r="AC457" s="5">
        <f t="shared" si="167"/>
        <v>45657</v>
      </c>
      <c r="AD457" s="1">
        <v>3</v>
      </c>
      <c r="AE457" s="1">
        <f t="shared" si="168"/>
        <v>0</v>
      </c>
      <c r="AF457" s="1">
        <f t="shared" si="169"/>
        <v>0</v>
      </c>
      <c r="AG457" s="1">
        <f t="shared" si="170"/>
        <v>0</v>
      </c>
      <c r="AH457" s="1">
        <f t="shared" si="171"/>
        <v>0</v>
      </c>
      <c r="AI457" s="1">
        <f t="shared" si="172"/>
        <v>183</v>
      </c>
      <c r="AJ457" s="3">
        <f t="shared" si="173"/>
        <v>0.5</v>
      </c>
      <c r="AK457" s="3">
        <f t="shared" si="174"/>
        <v>0.1140625</v>
      </c>
      <c r="AL457" s="3">
        <f t="shared" si="175"/>
        <v>0.17109374999999999</v>
      </c>
      <c r="AM457" s="3">
        <f t="shared" si="176"/>
        <v>0.6416015625</v>
      </c>
      <c r="AN457" s="3">
        <f t="shared" si="177"/>
        <v>0</v>
      </c>
      <c r="AO457" s="3">
        <f t="shared" si="178"/>
        <v>0.6416015625</v>
      </c>
      <c r="AP457" s="1" t="str">
        <f>INDEX({"EAD";"EAD";"EAD";"EAD MOOC";"EAD";"EAD";"EAD FP";"EAD";"PRESENCIAL";"PRESENCIAL";"PRESENCIAL";"PRESENCIAL"}, MATCH(CONCATENATE(E457, ".", F457),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58" spans="1:42" x14ac:dyDescent="0.25">
      <c r="A458" s="1" t="s">
        <v>27</v>
      </c>
      <c r="B458" s="1" t="s">
        <v>43</v>
      </c>
      <c r="C458" s="1" t="s">
        <v>29</v>
      </c>
      <c r="D458" s="1" t="s">
        <v>44</v>
      </c>
      <c r="E458" s="1" t="s">
        <v>120</v>
      </c>
      <c r="F458" s="1" t="s">
        <v>21</v>
      </c>
      <c r="G458" s="1" t="s">
        <v>128</v>
      </c>
      <c r="H458" s="1" t="s">
        <v>582</v>
      </c>
      <c r="I458" s="1" t="s">
        <v>289</v>
      </c>
      <c r="J458" s="1" t="s">
        <v>125</v>
      </c>
      <c r="K458" s="1" t="s">
        <v>130</v>
      </c>
      <c r="L458" s="1">
        <v>2760245</v>
      </c>
      <c r="M458" s="1" t="s">
        <v>668</v>
      </c>
      <c r="N458" s="5">
        <f t="shared" ref="N458:N479" si="179">DATE(2021,4,26)</f>
        <v>44312</v>
      </c>
      <c r="O458" s="5">
        <f>DATE(2024,12,23)</f>
        <v>45649</v>
      </c>
      <c r="P458" s="5">
        <f t="shared" si="159"/>
        <v>46744</v>
      </c>
      <c r="Q458" s="1">
        <v>3672</v>
      </c>
      <c r="R458" s="1">
        <v>1200</v>
      </c>
      <c r="S458" s="1">
        <f t="shared" si="160"/>
        <v>3200</v>
      </c>
      <c r="T458" s="1">
        <v>2.5</v>
      </c>
      <c r="U458" s="1" t="str">
        <f t="shared" si="161"/>
        <v>SIM</v>
      </c>
      <c r="V458" s="1">
        <f t="shared" si="162"/>
        <v>1338</v>
      </c>
      <c r="W458" s="4">
        <f t="shared" si="163"/>
        <v>2.391629297458894</v>
      </c>
      <c r="X458" s="4">
        <f t="shared" si="164"/>
        <v>872.94469357249625</v>
      </c>
      <c r="Y458" s="4">
        <f t="shared" si="165"/>
        <v>1.0911808669656202</v>
      </c>
      <c r="AB458" s="5">
        <f t="shared" si="166"/>
        <v>45292</v>
      </c>
      <c r="AC458" s="5">
        <f t="shared" si="167"/>
        <v>45657</v>
      </c>
      <c r="AD458" s="1">
        <v>44</v>
      </c>
      <c r="AE458" s="1">
        <f t="shared" si="168"/>
        <v>0</v>
      </c>
      <c r="AF458" s="1">
        <f t="shared" si="169"/>
        <v>0</v>
      </c>
      <c r="AG458" s="1">
        <f t="shared" si="170"/>
        <v>358</v>
      </c>
      <c r="AH458" s="1">
        <f t="shared" si="171"/>
        <v>0</v>
      </c>
      <c r="AI458" s="1">
        <f t="shared" si="172"/>
        <v>0</v>
      </c>
      <c r="AJ458" s="3">
        <f t="shared" si="173"/>
        <v>0.97814207650273222</v>
      </c>
      <c r="AK458" s="3">
        <f t="shared" si="174"/>
        <v>1.0673299190538033</v>
      </c>
      <c r="AL458" s="3">
        <f t="shared" si="175"/>
        <v>46.962516438367345</v>
      </c>
      <c r="AM458" s="3">
        <f t="shared" si="176"/>
        <v>117.40629109591836</v>
      </c>
      <c r="AN458" s="3">
        <f t="shared" si="177"/>
        <v>0</v>
      </c>
      <c r="AO458" s="3">
        <f t="shared" si="178"/>
        <v>117.40629109591836</v>
      </c>
      <c r="AP458" s="1" t="str">
        <f>INDEX({"EAD";"EAD";"EAD";"EAD MOOC";"EAD";"EAD";"EAD FP";"EAD";"PRESENCIAL";"PRESENCIAL";"PRESENCIAL";"PRESENCIAL"}, MATCH(CONCATENATE(E458, ".", F458),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59" spans="1:42" x14ac:dyDescent="0.25">
      <c r="A459" s="1" t="s">
        <v>27</v>
      </c>
      <c r="B459" s="1" t="s">
        <v>43</v>
      </c>
      <c r="C459" s="1" t="s">
        <v>29</v>
      </c>
      <c r="D459" s="1" t="s">
        <v>44</v>
      </c>
      <c r="E459" s="1" t="s">
        <v>120</v>
      </c>
      <c r="F459" s="1" t="s">
        <v>21</v>
      </c>
      <c r="G459" s="1" t="s">
        <v>128</v>
      </c>
      <c r="H459" s="1" t="s">
        <v>559</v>
      </c>
      <c r="I459" s="1" t="s">
        <v>289</v>
      </c>
      <c r="J459" s="1" t="s">
        <v>125</v>
      </c>
      <c r="K459" s="1" t="s">
        <v>130</v>
      </c>
      <c r="L459" s="1">
        <v>2760246</v>
      </c>
      <c r="M459" s="1" t="s">
        <v>669</v>
      </c>
      <c r="N459" s="5">
        <f t="shared" si="179"/>
        <v>44312</v>
      </c>
      <c r="O459" s="5">
        <f>DATE(2024,12,23)</f>
        <v>45649</v>
      </c>
      <c r="P459" s="5">
        <f t="shared" si="159"/>
        <v>46744</v>
      </c>
      <c r="Q459" s="1">
        <v>3826</v>
      </c>
      <c r="R459" s="1">
        <v>1200</v>
      </c>
      <c r="S459" s="1">
        <f t="shared" si="160"/>
        <v>3200</v>
      </c>
      <c r="T459" s="1">
        <v>2.5</v>
      </c>
      <c r="U459" s="1" t="str">
        <f t="shared" si="161"/>
        <v>SIM</v>
      </c>
      <c r="V459" s="1">
        <f t="shared" si="162"/>
        <v>1338</v>
      </c>
      <c r="W459" s="4">
        <f t="shared" si="163"/>
        <v>2.391629297458894</v>
      </c>
      <c r="X459" s="4">
        <f t="shared" si="164"/>
        <v>872.94469357249625</v>
      </c>
      <c r="Y459" s="4">
        <f t="shared" si="165"/>
        <v>1.0911808669656202</v>
      </c>
      <c r="AB459" s="5">
        <f t="shared" si="166"/>
        <v>45292</v>
      </c>
      <c r="AC459" s="5">
        <f t="shared" si="167"/>
        <v>45657</v>
      </c>
      <c r="AD459" s="1">
        <v>49</v>
      </c>
      <c r="AE459" s="1">
        <f t="shared" si="168"/>
        <v>0</v>
      </c>
      <c r="AF459" s="1">
        <f t="shared" si="169"/>
        <v>0</v>
      </c>
      <c r="AG459" s="1">
        <f t="shared" si="170"/>
        <v>358</v>
      </c>
      <c r="AH459" s="1">
        <f t="shared" si="171"/>
        <v>0</v>
      </c>
      <c r="AI459" s="1">
        <f t="shared" si="172"/>
        <v>0</v>
      </c>
      <c r="AJ459" s="3">
        <f t="shared" si="173"/>
        <v>0.97814207650273222</v>
      </c>
      <c r="AK459" s="3">
        <f t="shared" si="174"/>
        <v>1.0673299190538033</v>
      </c>
      <c r="AL459" s="3">
        <f t="shared" si="175"/>
        <v>52.299166033636361</v>
      </c>
      <c r="AM459" s="3">
        <f t="shared" si="176"/>
        <v>130.74791508409089</v>
      </c>
      <c r="AN459" s="3">
        <f t="shared" si="177"/>
        <v>0</v>
      </c>
      <c r="AO459" s="3">
        <f t="shared" si="178"/>
        <v>130.74791508409089</v>
      </c>
      <c r="AP459" s="1" t="str">
        <f>INDEX({"EAD";"EAD";"EAD";"EAD MOOC";"EAD";"EAD";"EAD FP";"EAD";"PRESENCIAL";"PRESENCIAL";"PRESENCIAL";"PRESENCIAL"}, MATCH(CONCATENATE(E459, ".", F459),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60" spans="1:42" x14ac:dyDescent="0.25">
      <c r="A460" s="1" t="s">
        <v>27</v>
      </c>
      <c r="B460" s="1" t="s">
        <v>43</v>
      </c>
      <c r="C460" s="1" t="s">
        <v>29</v>
      </c>
      <c r="D460" s="1" t="s">
        <v>44</v>
      </c>
      <c r="E460" s="1" t="s">
        <v>120</v>
      </c>
      <c r="F460" s="1" t="s">
        <v>21</v>
      </c>
      <c r="G460" s="1" t="s">
        <v>128</v>
      </c>
      <c r="H460" s="1" t="s">
        <v>526</v>
      </c>
      <c r="I460" s="1" t="s">
        <v>503</v>
      </c>
      <c r="J460" s="1" t="s">
        <v>125</v>
      </c>
      <c r="K460" s="1" t="s">
        <v>130</v>
      </c>
      <c r="L460" s="1">
        <v>2760247</v>
      </c>
      <c r="M460" s="1" t="s">
        <v>670</v>
      </c>
      <c r="N460" s="5">
        <f t="shared" si="179"/>
        <v>44312</v>
      </c>
      <c r="O460" s="5">
        <f>DATE(2023,12,23)</f>
        <v>45283</v>
      </c>
      <c r="P460" s="5">
        <f t="shared" si="159"/>
        <v>46378</v>
      </c>
      <c r="Q460" s="1">
        <v>3332</v>
      </c>
      <c r="R460" s="1">
        <v>1200</v>
      </c>
      <c r="S460" s="1">
        <f t="shared" si="160"/>
        <v>3200</v>
      </c>
      <c r="T460" s="1">
        <v>2.5</v>
      </c>
      <c r="U460" s="1" t="str">
        <f t="shared" si="161"/>
        <v>SIM</v>
      </c>
      <c r="V460" s="1">
        <f t="shared" si="162"/>
        <v>972</v>
      </c>
      <c r="W460" s="4">
        <f t="shared" si="163"/>
        <v>3.2921810699588478</v>
      </c>
      <c r="X460" s="4">
        <f t="shared" si="164"/>
        <v>1201.6460905349795</v>
      </c>
      <c r="Y460" s="4">
        <f t="shared" si="165"/>
        <v>1.5020576131687244</v>
      </c>
      <c r="AB460" s="5">
        <f t="shared" si="166"/>
        <v>45292</v>
      </c>
      <c r="AC460" s="5">
        <f t="shared" si="167"/>
        <v>45657</v>
      </c>
      <c r="AD460" s="1">
        <v>28</v>
      </c>
      <c r="AE460" s="1">
        <f t="shared" si="168"/>
        <v>0</v>
      </c>
      <c r="AF460" s="1">
        <f t="shared" si="169"/>
        <v>0</v>
      </c>
      <c r="AG460" s="1">
        <f t="shared" si="170"/>
        <v>0</v>
      </c>
      <c r="AH460" s="1">
        <f t="shared" si="171"/>
        <v>0</v>
      </c>
      <c r="AI460" s="1">
        <f t="shared" si="172"/>
        <v>183</v>
      </c>
      <c r="AJ460" s="3">
        <f t="shared" si="173"/>
        <v>0.5</v>
      </c>
      <c r="AK460" s="3">
        <f t="shared" si="174"/>
        <v>0.75102880658436222</v>
      </c>
      <c r="AL460" s="3">
        <f t="shared" si="175"/>
        <v>10.514403292181072</v>
      </c>
      <c r="AM460" s="3">
        <f t="shared" si="176"/>
        <v>26.28600823045268</v>
      </c>
      <c r="AN460" s="3">
        <f t="shared" si="177"/>
        <v>0</v>
      </c>
      <c r="AO460" s="3">
        <f t="shared" si="178"/>
        <v>26.28600823045268</v>
      </c>
      <c r="AP460" s="1" t="str">
        <f>INDEX({"EAD";"EAD";"EAD";"EAD MOOC";"EAD";"EAD";"EAD FP";"EAD";"PRESENCIAL";"PRESENCIAL";"PRESENCIAL";"PRESENCIAL"}, MATCH(CONCATENATE(E460, ".", F460),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61" spans="1:42" x14ac:dyDescent="0.25">
      <c r="A461" s="1" t="s">
        <v>27</v>
      </c>
      <c r="B461" s="1" t="s">
        <v>43</v>
      </c>
      <c r="C461" s="1" t="s">
        <v>29</v>
      </c>
      <c r="D461" s="1" t="s">
        <v>44</v>
      </c>
      <c r="E461" s="1" t="s">
        <v>120</v>
      </c>
      <c r="F461" s="1" t="s">
        <v>21</v>
      </c>
      <c r="G461" s="1" t="s">
        <v>128</v>
      </c>
      <c r="H461" s="1" t="s">
        <v>586</v>
      </c>
      <c r="I461" s="1" t="s">
        <v>503</v>
      </c>
      <c r="J461" s="1" t="s">
        <v>125</v>
      </c>
      <c r="K461" s="1" t="s">
        <v>130</v>
      </c>
      <c r="L461" s="1">
        <v>2760248</v>
      </c>
      <c r="M461" s="1" t="s">
        <v>671</v>
      </c>
      <c r="N461" s="5">
        <f t="shared" si="179"/>
        <v>44312</v>
      </c>
      <c r="O461" s="5">
        <f>DATE(2023,12,23)</f>
        <v>45283</v>
      </c>
      <c r="P461" s="5">
        <f t="shared" si="159"/>
        <v>46378</v>
      </c>
      <c r="Q461" s="1">
        <v>3332</v>
      </c>
      <c r="R461" s="1">
        <v>1200</v>
      </c>
      <c r="S461" s="1">
        <f t="shared" si="160"/>
        <v>3200</v>
      </c>
      <c r="T461" s="1">
        <v>2.5</v>
      </c>
      <c r="U461" s="1" t="str">
        <f t="shared" si="161"/>
        <v>SIM</v>
      </c>
      <c r="V461" s="1">
        <f t="shared" si="162"/>
        <v>972</v>
      </c>
      <c r="W461" s="4">
        <f t="shared" si="163"/>
        <v>3.2921810699588478</v>
      </c>
      <c r="X461" s="4">
        <f t="shared" si="164"/>
        <v>1201.6460905349795</v>
      </c>
      <c r="Y461" s="4">
        <f t="shared" si="165"/>
        <v>1.5020576131687244</v>
      </c>
      <c r="AB461" s="5">
        <f t="shared" si="166"/>
        <v>45292</v>
      </c>
      <c r="AC461" s="5">
        <f t="shared" si="167"/>
        <v>45657</v>
      </c>
      <c r="AD461" s="1">
        <v>7</v>
      </c>
      <c r="AE461" s="1">
        <f t="shared" si="168"/>
        <v>0</v>
      </c>
      <c r="AF461" s="1">
        <f t="shared" si="169"/>
        <v>0</v>
      </c>
      <c r="AG461" s="1">
        <f t="shared" si="170"/>
        <v>0</v>
      </c>
      <c r="AH461" s="1">
        <f t="shared" si="171"/>
        <v>0</v>
      </c>
      <c r="AI461" s="1">
        <f t="shared" si="172"/>
        <v>183</v>
      </c>
      <c r="AJ461" s="3">
        <f t="shared" si="173"/>
        <v>0.5</v>
      </c>
      <c r="AK461" s="3">
        <f t="shared" si="174"/>
        <v>0.75102880658436222</v>
      </c>
      <c r="AL461" s="3">
        <f t="shared" si="175"/>
        <v>2.628600823045268</v>
      </c>
      <c r="AM461" s="3">
        <f t="shared" si="176"/>
        <v>6.57150205761317</v>
      </c>
      <c r="AN461" s="3">
        <f t="shared" si="177"/>
        <v>0</v>
      </c>
      <c r="AO461" s="3">
        <f t="shared" si="178"/>
        <v>6.57150205761317</v>
      </c>
      <c r="AP461" s="1" t="str">
        <f>INDEX({"EAD";"EAD";"EAD";"EAD MOOC";"EAD";"EAD";"EAD FP";"EAD";"PRESENCIAL";"PRESENCIAL";"PRESENCIAL";"PRESENCIAL"}, MATCH(CONCATENATE(E461, ".", F461),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62" spans="1:42" x14ac:dyDescent="0.25">
      <c r="A462" s="1" t="s">
        <v>27</v>
      </c>
      <c r="B462" s="1" t="s">
        <v>43</v>
      </c>
      <c r="C462" s="1" t="s">
        <v>29</v>
      </c>
      <c r="D462" s="1" t="s">
        <v>44</v>
      </c>
      <c r="E462" s="1" t="s">
        <v>120</v>
      </c>
      <c r="F462" s="1" t="s">
        <v>21</v>
      </c>
      <c r="G462" s="1" t="s">
        <v>128</v>
      </c>
      <c r="H462" s="1" t="s">
        <v>612</v>
      </c>
      <c r="I462" s="1" t="s">
        <v>187</v>
      </c>
      <c r="J462" s="1" t="s">
        <v>125</v>
      </c>
      <c r="K462" s="1" t="s">
        <v>130</v>
      </c>
      <c r="L462" s="1">
        <v>2760249</v>
      </c>
      <c r="M462" s="1" t="s">
        <v>672</v>
      </c>
      <c r="N462" s="5">
        <f t="shared" si="179"/>
        <v>44312</v>
      </c>
      <c r="O462" s="5">
        <f>DATE(2023,12,23)</f>
        <v>45283</v>
      </c>
      <c r="P462" s="5">
        <f t="shared" si="159"/>
        <v>46378</v>
      </c>
      <c r="Q462" s="1">
        <v>986</v>
      </c>
      <c r="R462" s="1">
        <v>800</v>
      </c>
      <c r="S462" s="1">
        <f t="shared" si="160"/>
        <v>3000</v>
      </c>
      <c r="T462" s="1">
        <v>1.5</v>
      </c>
      <c r="U462" s="1" t="str">
        <f t="shared" si="161"/>
        <v>SIM</v>
      </c>
      <c r="V462" s="1">
        <f t="shared" si="162"/>
        <v>972</v>
      </c>
      <c r="W462" s="4">
        <f t="shared" si="163"/>
        <v>1.0144032921810699</v>
      </c>
      <c r="X462" s="4">
        <f t="shared" si="164"/>
        <v>370.25720164609055</v>
      </c>
      <c r="Y462" s="4">
        <f t="shared" si="165"/>
        <v>0.46282150205761319</v>
      </c>
      <c r="AB462" s="5">
        <f t="shared" si="166"/>
        <v>45292</v>
      </c>
      <c r="AC462" s="5">
        <f t="shared" si="167"/>
        <v>45657</v>
      </c>
      <c r="AD462" s="1">
        <v>6</v>
      </c>
      <c r="AE462" s="1">
        <f t="shared" si="168"/>
        <v>0</v>
      </c>
      <c r="AF462" s="1">
        <f t="shared" si="169"/>
        <v>0</v>
      </c>
      <c r="AG462" s="1">
        <f t="shared" si="170"/>
        <v>0</v>
      </c>
      <c r="AH462" s="1">
        <f t="shared" si="171"/>
        <v>0</v>
      </c>
      <c r="AI462" s="1">
        <f t="shared" si="172"/>
        <v>183</v>
      </c>
      <c r="AJ462" s="3">
        <f t="shared" si="173"/>
        <v>0.5</v>
      </c>
      <c r="AK462" s="3">
        <f t="shared" si="174"/>
        <v>0.23141075102880659</v>
      </c>
      <c r="AL462" s="3">
        <f t="shared" si="175"/>
        <v>0.69423225308641978</v>
      </c>
      <c r="AM462" s="3">
        <f t="shared" si="176"/>
        <v>1.0413483796296297</v>
      </c>
      <c r="AN462" s="3">
        <f t="shared" si="177"/>
        <v>0</v>
      </c>
      <c r="AO462" s="3">
        <f t="shared" si="178"/>
        <v>1.0413483796296297</v>
      </c>
      <c r="AP462" s="1" t="str">
        <f>INDEX({"EAD";"EAD";"EAD";"EAD MOOC";"EAD";"EAD";"EAD FP";"EAD";"PRESENCIAL";"PRESENCIAL";"PRESENCIAL";"PRESENCIAL"}, MATCH(CONCATENATE(E462, ".", F462),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63" spans="1:42" x14ac:dyDescent="0.25">
      <c r="A463" s="1" t="s">
        <v>27</v>
      </c>
      <c r="B463" s="1" t="s">
        <v>43</v>
      </c>
      <c r="C463" s="1" t="s">
        <v>29</v>
      </c>
      <c r="D463" s="1" t="s">
        <v>44</v>
      </c>
      <c r="E463" s="1" t="s">
        <v>120</v>
      </c>
      <c r="F463" s="1" t="s">
        <v>21</v>
      </c>
      <c r="G463" s="1" t="s">
        <v>128</v>
      </c>
      <c r="H463" s="1" t="s">
        <v>208</v>
      </c>
      <c r="I463" s="1" t="s">
        <v>209</v>
      </c>
      <c r="J463" s="1" t="s">
        <v>125</v>
      </c>
      <c r="K463" s="1" t="s">
        <v>130</v>
      </c>
      <c r="L463" s="1">
        <v>2760250</v>
      </c>
      <c r="M463" s="1" t="s">
        <v>673</v>
      </c>
      <c r="N463" s="5">
        <f t="shared" si="179"/>
        <v>44312</v>
      </c>
      <c r="O463" s="5">
        <f>DATE(2023,12,23)</f>
        <v>45283</v>
      </c>
      <c r="P463" s="5">
        <f t="shared" si="159"/>
        <v>46378</v>
      </c>
      <c r="Q463" s="1">
        <v>3740</v>
      </c>
      <c r="R463" s="1">
        <v>1200</v>
      </c>
      <c r="S463" s="1">
        <f t="shared" si="160"/>
        <v>3200</v>
      </c>
      <c r="T463" s="1">
        <v>1.5</v>
      </c>
      <c r="U463" s="1" t="str">
        <f t="shared" si="161"/>
        <v>SIM</v>
      </c>
      <c r="V463" s="1">
        <f t="shared" si="162"/>
        <v>972</v>
      </c>
      <c r="W463" s="4">
        <f t="shared" si="163"/>
        <v>3.2921810699588478</v>
      </c>
      <c r="X463" s="4">
        <f t="shared" si="164"/>
        <v>1201.6460905349795</v>
      </c>
      <c r="Y463" s="4">
        <f t="shared" si="165"/>
        <v>1.5020576131687244</v>
      </c>
      <c r="AB463" s="5">
        <f t="shared" si="166"/>
        <v>45292</v>
      </c>
      <c r="AC463" s="5">
        <f t="shared" si="167"/>
        <v>45657</v>
      </c>
      <c r="AD463" s="1">
        <v>4</v>
      </c>
      <c r="AE463" s="1">
        <f t="shared" si="168"/>
        <v>0</v>
      </c>
      <c r="AF463" s="1">
        <f t="shared" si="169"/>
        <v>0</v>
      </c>
      <c r="AG463" s="1">
        <f t="shared" si="170"/>
        <v>0</v>
      </c>
      <c r="AH463" s="1">
        <f t="shared" si="171"/>
        <v>0</v>
      </c>
      <c r="AI463" s="1">
        <f t="shared" si="172"/>
        <v>183</v>
      </c>
      <c r="AJ463" s="3">
        <f t="shared" si="173"/>
        <v>0.5</v>
      </c>
      <c r="AK463" s="3">
        <f t="shared" si="174"/>
        <v>0.75102880658436222</v>
      </c>
      <c r="AL463" s="3">
        <f t="shared" si="175"/>
        <v>1.5020576131687244</v>
      </c>
      <c r="AM463" s="3">
        <f t="shared" si="176"/>
        <v>2.2530864197530867</v>
      </c>
      <c r="AN463" s="3">
        <f t="shared" si="177"/>
        <v>0</v>
      </c>
      <c r="AO463" s="3">
        <f t="shared" si="178"/>
        <v>2.2530864197530867</v>
      </c>
      <c r="AP463" s="1" t="str">
        <f>INDEX({"EAD";"EAD";"EAD";"EAD MOOC";"EAD";"EAD";"EAD FP";"EAD";"PRESENCIAL";"PRESENCIAL";"PRESENCIAL";"PRESENCIAL"}, MATCH(CONCATENATE(E463, ".", F463),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64" spans="1:42" x14ac:dyDescent="0.25">
      <c r="A464" s="1" t="s">
        <v>27</v>
      </c>
      <c r="B464" s="1" t="s">
        <v>43</v>
      </c>
      <c r="C464" s="1" t="s">
        <v>29</v>
      </c>
      <c r="D464" s="1" t="s">
        <v>44</v>
      </c>
      <c r="E464" s="1" t="s">
        <v>120</v>
      </c>
      <c r="F464" s="1" t="s">
        <v>21</v>
      </c>
      <c r="G464" s="1" t="s">
        <v>128</v>
      </c>
      <c r="H464" s="1" t="s">
        <v>218</v>
      </c>
      <c r="I464" s="1" t="s">
        <v>124</v>
      </c>
      <c r="J464" s="1" t="s">
        <v>125</v>
      </c>
      <c r="K464" s="1" t="s">
        <v>130</v>
      </c>
      <c r="L464" s="1">
        <v>2760251</v>
      </c>
      <c r="M464" s="1" t="s">
        <v>674</v>
      </c>
      <c r="N464" s="5">
        <f t="shared" si="179"/>
        <v>44312</v>
      </c>
      <c r="O464" s="5">
        <f>DATE(2023,12,23)</f>
        <v>45283</v>
      </c>
      <c r="P464" s="5">
        <f t="shared" si="159"/>
        <v>46378</v>
      </c>
      <c r="Q464" s="1">
        <v>3973</v>
      </c>
      <c r="R464" s="1">
        <v>800</v>
      </c>
      <c r="S464" s="1">
        <f t="shared" si="160"/>
        <v>3000</v>
      </c>
      <c r="T464" s="1">
        <v>1.5</v>
      </c>
      <c r="U464" s="1" t="str">
        <f t="shared" si="161"/>
        <v>SIM</v>
      </c>
      <c r="V464" s="1">
        <f t="shared" si="162"/>
        <v>972</v>
      </c>
      <c r="W464" s="4">
        <f t="shared" si="163"/>
        <v>3.0864197530864197</v>
      </c>
      <c r="X464" s="4">
        <f t="shared" si="164"/>
        <v>1126.5432098765432</v>
      </c>
      <c r="Y464" s="4">
        <f t="shared" si="165"/>
        <v>1.408179012345679</v>
      </c>
      <c r="AB464" s="5">
        <f t="shared" si="166"/>
        <v>45292</v>
      </c>
      <c r="AC464" s="5">
        <f t="shared" si="167"/>
        <v>45657</v>
      </c>
      <c r="AD464" s="1">
        <v>6</v>
      </c>
      <c r="AE464" s="1">
        <f t="shared" si="168"/>
        <v>0</v>
      </c>
      <c r="AF464" s="1">
        <f t="shared" si="169"/>
        <v>0</v>
      </c>
      <c r="AG464" s="1">
        <f t="shared" si="170"/>
        <v>0</v>
      </c>
      <c r="AH464" s="1">
        <f t="shared" si="171"/>
        <v>0</v>
      </c>
      <c r="AI464" s="1">
        <f t="shared" si="172"/>
        <v>183</v>
      </c>
      <c r="AJ464" s="3">
        <f t="shared" si="173"/>
        <v>0.5</v>
      </c>
      <c r="AK464" s="3">
        <f t="shared" si="174"/>
        <v>0.7040895061728395</v>
      </c>
      <c r="AL464" s="3">
        <f t="shared" si="175"/>
        <v>2.1122685185185186</v>
      </c>
      <c r="AM464" s="3">
        <f t="shared" si="176"/>
        <v>3.1684027777777777</v>
      </c>
      <c r="AN464" s="3">
        <f t="shared" si="177"/>
        <v>0</v>
      </c>
      <c r="AO464" s="3">
        <f t="shared" si="178"/>
        <v>3.1684027777777777</v>
      </c>
      <c r="AP464" s="1" t="str">
        <f>INDEX({"EAD";"EAD";"EAD";"EAD MOOC";"EAD";"EAD";"EAD FP";"EAD";"PRESENCIAL";"PRESENCIAL";"PRESENCIAL";"PRESENCIAL"}, MATCH(CONCATENATE(E464, ".", F464),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65" spans="1:42" x14ac:dyDescent="0.25">
      <c r="A465" s="1" t="s">
        <v>27</v>
      </c>
      <c r="B465" s="1" t="s">
        <v>43</v>
      </c>
      <c r="C465" s="1" t="s">
        <v>29</v>
      </c>
      <c r="D465" s="1" t="s">
        <v>44</v>
      </c>
      <c r="E465" s="1" t="s">
        <v>120</v>
      </c>
      <c r="F465" s="1" t="s">
        <v>21</v>
      </c>
      <c r="G465" s="1" t="s">
        <v>128</v>
      </c>
      <c r="H465" s="1" t="s">
        <v>582</v>
      </c>
      <c r="I465" s="1" t="s">
        <v>289</v>
      </c>
      <c r="J465" s="1" t="s">
        <v>125</v>
      </c>
      <c r="K465" s="1" t="s">
        <v>163</v>
      </c>
      <c r="L465" s="1">
        <v>2760767</v>
      </c>
      <c r="M465" s="1" t="s">
        <v>675</v>
      </c>
      <c r="N465" s="5">
        <f t="shared" si="179"/>
        <v>44312</v>
      </c>
      <c r="O465" s="5">
        <f>DATE(2022,12,23)</f>
        <v>44918</v>
      </c>
      <c r="P465" s="5">
        <f t="shared" si="159"/>
        <v>46013</v>
      </c>
      <c r="Q465" s="1">
        <v>1258</v>
      </c>
      <c r="R465" s="1">
        <v>1200</v>
      </c>
      <c r="S465" s="1">
        <f t="shared" si="160"/>
        <v>1200</v>
      </c>
      <c r="T465" s="1">
        <v>2.5</v>
      </c>
      <c r="U465" s="1" t="str">
        <f t="shared" si="161"/>
        <v>SIM</v>
      </c>
      <c r="V465" s="1">
        <f t="shared" si="162"/>
        <v>607</v>
      </c>
      <c r="W465" s="4">
        <f t="shared" si="163"/>
        <v>1.9769357495881383</v>
      </c>
      <c r="X465" s="4">
        <f t="shared" si="164"/>
        <v>721.58154859967044</v>
      </c>
      <c r="Y465" s="4">
        <f t="shared" si="165"/>
        <v>0.90197693574958804</v>
      </c>
      <c r="AB465" s="5">
        <f t="shared" si="166"/>
        <v>45292</v>
      </c>
      <c r="AC465" s="5">
        <f t="shared" si="167"/>
        <v>45657</v>
      </c>
      <c r="AD465" s="1">
        <v>7</v>
      </c>
      <c r="AE465" s="1">
        <f t="shared" si="168"/>
        <v>0</v>
      </c>
      <c r="AF465" s="1">
        <f t="shared" si="169"/>
        <v>0</v>
      </c>
      <c r="AG465" s="1">
        <f t="shared" si="170"/>
        <v>0</v>
      </c>
      <c r="AH465" s="1">
        <f t="shared" si="171"/>
        <v>0</v>
      </c>
      <c r="AI465" s="1">
        <f t="shared" si="172"/>
        <v>183</v>
      </c>
      <c r="AJ465" s="3">
        <f t="shared" si="173"/>
        <v>0.5</v>
      </c>
      <c r="AK465" s="3">
        <f t="shared" si="174"/>
        <v>0.45098846787479402</v>
      </c>
      <c r="AL465" s="3">
        <f t="shared" si="175"/>
        <v>1.578459637561779</v>
      </c>
      <c r="AM465" s="3">
        <f t="shared" si="176"/>
        <v>3.9461490939044475</v>
      </c>
      <c r="AN465" s="3">
        <f t="shared" si="177"/>
        <v>0</v>
      </c>
      <c r="AO465" s="3">
        <f t="shared" si="178"/>
        <v>3.9461490939044475</v>
      </c>
      <c r="AP465" s="1" t="str">
        <f>INDEX({"EAD";"EAD";"EAD";"EAD MOOC";"EAD";"EAD";"EAD FP";"EAD";"PRESENCIAL";"PRESENCIAL";"PRESENCIAL";"PRESENCIAL"}, MATCH(CONCATENATE(E465, ".", F465),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66" spans="1:42" x14ac:dyDescent="0.25">
      <c r="A466" s="1" t="s">
        <v>27</v>
      </c>
      <c r="B466" s="1" t="s">
        <v>43</v>
      </c>
      <c r="C466" s="1" t="s">
        <v>29</v>
      </c>
      <c r="D466" s="1" t="s">
        <v>44</v>
      </c>
      <c r="E466" s="1" t="s">
        <v>120</v>
      </c>
      <c r="F466" s="1" t="s">
        <v>21</v>
      </c>
      <c r="G466" s="1" t="s">
        <v>128</v>
      </c>
      <c r="H466" s="1" t="s">
        <v>559</v>
      </c>
      <c r="I466" s="1" t="s">
        <v>289</v>
      </c>
      <c r="J466" s="1" t="s">
        <v>125</v>
      </c>
      <c r="K466" s="1" t="s">
        <v>163</v>
      </c>
      <c r="L466" s="1">
        <v>2760768</v>
      </c>
      <c r="M466" s="1" t="s">
        <v>676</v>
      </c>
      <c r="N466" s="5">
        <f t="shared" si="179"/>
        <v>44312</v>
      </c>
      <c r="O466" s="5">
        <f>DATE(2022,12,23)</f>
        <v>44918</v>
      </c>
      <c r="P466" s="5">
        <f t="shared" si="159"/>
        <v>46013</v>
      </c>
      <c r="Q466" s="1">
        <v>1360</v>
      </c>
      <c r="R466" s="1">
        <v>1200</v>
      </c>
      <c r="S466" s="1">
        <f t="shared" si="160"/>
        <v>1200</v>
      </c>
      <c r="T466" s="1">
        <v>2.5</v>
      </c>
      <c r="U466" s="1" t="str">
        <f t="shared" si="161"/>
        <v>SIM</v>
      </c>
      <c r="V466" s="1">
        <f t="shared" si="162"/>
        <v>607</v>
      </c>
      <c r="W466" s="4">
        <f t="shared" si="163"/>
        <v>1.9769357495881383</v>
      </c>
      <c r="X466" s="4">
        <f t="shared" si="164"/>
        <v>721.58154859967044</v>
      </c>
      <c r="Y466" s="4">
        <f t="shared" si="165"/>
        <v>0.90197693574958804</v>
      </c>
      <c r="AB466" s="5">
        <f t="shared" si="166"/>
        <v>45292</v>
      </c>
      <c r="AC466" s="5">
        <f t="shared" si="167"/>
        <v>45657</v>
      </c>
      <c r="AD466" s="1">
        <v>9</v>
      </c>
      <c r="AE466" s="1">
        <f t="shared" si="168"/>
        <v>0</v>
      </c>
      <c r="AF466" s="1">
        <f t="shared" si="169"/>
        <v>0</v>
      </c>
      <c r="AG466" s="1">
        <f t="shared" si="170"/>
        <v>0</v>
      </c>
      <c r="AH466" s="1">
        <f t="shared" si="171"/>
        <v>0</v>
      </c>
      <c r="AI466" s="1">
        <f t="shared" si="172"/>
        <v>183</v>
      </c>
      <c r="AJ466" s="3">
        <f t="shared" si="173"/>
        <v>0.5</v>
      </c>
      <c r="AK466" s="3">
        <f t="shared" si="174"/>
        <v>0.45098846787479402</v>
      </c>
      <c r="AL466" s="3">
        <f t="shared" si="175"/>
        <v>2.0294481054365732</v>
      </c>
      <c r="AM466" s="3">
        <f t="shared" si="176"/>
        <v>5.0736202635914331</v>
      </c>
      <c r="AN466" s="3">
        <f t="shared" si="177"/>
        <v>0</v>
      </c>
      <c r="AO466" s="3">
        <f t="shared" si="178"/>
        <v>5.0736202635914331</v>
      </c>
      <c r="AP466" s="1" t="str">
        <f>INDEX({"EAD";"EAD";"EAD";"EAD MOOC";"EAD";"EAD";"EAD FP";"EAD";"PRESENCIAL";"PRESENCIAL";"PRESENCIAL";"PRESENCIAL"}, MATCH(CONCATENATE(E466, ".", F466),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67" spans="1:42" x14ac:dyDescent="0.25">
      <c r="A467" s="1" t="s">
        <v>27</v>
      </c>
      <c r="B467" s="1" t="s">
        <v>43</v>
      </c>
      <c r="C467" s="1" t="s">
        <v>29</v>
      </c>
      <c r="D467" s="1" t="s">
        <v>44</v>
      </c>
      <c r="E467" s="1" t="s">
        <v>120</v>
      </c>
      <c r="F467" s="1" t="s">
        <v>21</v>
      </c>
      <c r="G467" s="1" t="s">
        <v>128</v>
      </c>
      <c r="H467" s="1" t="s">
        <v>526</v>
      </c>
      <c r="I467" s="1" t="s">
        <v>503</v>
      </c>
      <c r="J467" s="1" t="s">
        <v>125</v>
      </c>
      <c r="K467" s="1" t="s">
        <v>163</v>
      </c>
      <c r="L467" s="1">
        <v>2760769</v>
      </c>
      <c r="M467" s="1" t="s">
        <v>677</v>
      </c>
      <c r="N467" s="5">
        <f t="shared" si="179"/>
        <v>44312</v>
      </c>
      <c r="O467" s="5">
        <f>DATE(2022,12,23)</f>
        <v>44918</v>
      </c>
      <c r="P467" s="5">
        <f t="shared" si="159"/>
        <v>46013</v>
      </c>
      <c r="Q467" s="1">
        <v>1707</v>
      </c>
      <c r="R467" s="1">
        <v>1200</v>
      </c>
      <c r="S467" s="1">
        <f t="shared" si="160"/>
        <v>1200</v>
      </c>
      <c r="T467" s="1">
        <v>2.5</v>
      </c>
      <c r="U467" s="1" t="str">
        <f t="shared" si="161"/>
        <v>SIM</v>
      </c>
      <c r="V467" s="1">
        <f t="shared" si="162"/>
        <v>607</v>
      </c>
      <c r="W467" s="4">
        <f t="shared" si="163"/>
        <v>1.9769357495881383</v>
      </c>
      <c r="X467" s="4">
        <f t="shared" si="164"/>
        <v>721.58154859967044</v>
      </c>
      <c r="Y467" s="4">
        <f t="shared" si="165"/>
        <v>0.90197693574958804</v>
      </c>
      <c r="AB467" s="5">
        <f t="shared" si="166"/>
        <v>45292</v>
      </c>
      <c r="AC467" s="5">
        <f t="shared" si="167"/>
        <v>45657</v>
      </c>
      <c r="AD467" s="1">
        <v>5</v>
      </c>
      <c r="AE467" s="1">
        <f t="shared" si="168"/>
        <v>0</v>
      </c>
      <c r="AF467" s="1">
        <f t="shared" si="169"/>
        <v>0</v>
      </c>
      <c r="AG467" s="1">
        <f t="shared" si="170"/>
        <v>0</v>
      </c>
      <c r="AH467" s="1">
        <f t="shared" si="171"/>
        <v>0</v>
      </c>
      <c r="AI467" s="1">
        <f t="shared" si="172"/>
        <v>183</v>
      </c>
      <c r="AJ467" s="3">
        <f t="shared" si="173"/>
        <v>0.5</v>
      </c>
      <c r="AK467" s="3">
        <f t="shared" si="174"/>
        <v>0.45098846787479402</v>
      </c>
      <c r="AL467" s="3">
        <f t="shared" si="175"/>
        <v>1.127471169686985</v>
      </c>
      <c r="AM467" s="3">
        <f t="shared" si="176"/>
        <v>2.8186779242174627</v>
      </c>
      <c r="AN467" s="3">
        <f t="shared" si="177"/>
        <v>0</v>
      </c>
      <c r="AO467" s="3">
        <f t="shared" si="178"/>
        <v>2.8186779242174627</v>
      </c>
      <c r="AP467" s="1" t="str">
        <f>INDEX({"EAD";"EAD";"EAD";"EAD MOOC";"EAD";"EAD";"EAD FP";"EAD";"PRESENCIAL";"PRESENCIAL";"PRESENCIAL";"PRESENCIAL"}, MATCH(CONCATENATE(E467, ".", F467),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68" spans="1:42" x14ac:dyDescent="0.25">
      <c r="A468" s="1" t="s">
        <v>27</v>
      </c>
      <c r="B468" s="1" t="s">
        <v>43</v>
      </c>
      <c r="C468" s="1" t="s">
        <v>29</v>
      </c>
      <c r="D468" s="1" t="s">
        <v>44</v>
      </c>
      <c r="E468" s="1" t="s">
        <v>120</v>
      </c>
      <c r="F468" s="1" t="s">
        <v>21</v>
      </c>
      <c r="G468" s="1" t="s">
        <v>128</v>
      </c>
      <c r="H468" s="1" t="s">
        <v>586</v>
      </c>
      <c r="I468" s="1" t="s">
        <v>503</v>
      </c>
      <c r="J468" s="1" t="s">
        <v>125</v>
      </c>
      <c r="K468" s="1" t="s">
        <v>163</v>
      </c>
      <c r="L468" s="1">
        <v>2760770</v>
      </c>
      <c r="M468" s="1" t="s">
        <v>678</v>
      </c>
      <c r="N468" s="5">
        <f t="shared" si="179"/>
        <v>44312</v>
      </c>
      <c r="O468" s="5">
        <f>DATE(2022,12,23)</f>
        <v>44918</v>
      </c>
      <c r="P468" s="5">
        <f t="shared" si="159"/>
        <v>46013</v>
      </c>
      <c r="Q468" s="1">
        <v>1703</v>
      </c>
      <c r="R468" s="1">
        <v>1200</v>
      </c>
      <c r="S468" s="1">
        <f t="shared" si="160"/>
        <v>1200</v>
      </c>
      <c r="T468" s="1">
        <v>2.5</v>
      </c>
      <c r="U468" s="1" t="str">
        <f t="shared" si="161"/>
        <v>SIM</v>
      </c>
      <c r="V468" s="1">
        <f t="shared" si="162"/>
        <v>607</v>
      </c>
      <c r="W468" s="4">
        <f t="shared" si="163"/>
        <v>1.9769357495881383</v>
      </c>
      <c r="X468" s="4">
        <f t="shared" si="164"/>
        <v>721.58154859967044</v>
      </c>
      <c r="Y468" s="4">
        <f t="shared" si="165"/>
        <v>0.90197693574958804</v>
      </c>
      <c r="AB468" s="5">
        <f t="shared" si="166"/>
        <v>45292</v>
      </c>
      <c r="AC468" s="5">
        <f t="shared" si="167"/>
        <v>45657</v>
      </c>
      <c r="AD468" s="1">
        <v>5</v>
      </c>
      <c r="AE468" s="1">
        <f t="shared" si="168"/>
        <v>0</v>
      </c>
      <c r="AF468" s="1">
        <f t="shared" si="169"/>
        <v>0</v>
      </c>
      <c r="AG468" s="1">
        <f t="shared" si="170"/>
        <v>0</v>
      </c>
      <c r="AH468" s="1">
        <f t="shared" si="171"/>
        <v>0</v>
      </c>
      <c r="AI468" s="1">
        <f t="shared" si="172"/>
        <v>183</v>
      </c>
      <c r="AJ468" s="3">
        <f t="shared" si="173"/>
        <v>0.5</v>
      </c>
      <c r="AK468" s="3">
        <f t="shared" si="174"/>
        <v>0.45098846787479402</v>
      </c>
      <c r="AL468" s="3">
        <f t="shared" si="175"/>
        <v>1.127471169686985</v>
      </c>
      <c r="AM468" s="3">
        <f t="shared" si="176"/>
        <v>2.8186779242174627</v>
      </c>
      <c r="AN468" s="3">
        <f t="shared" si="177"/>
        <v>0</v>
      </c>
      <c r="AO468" s="3">
        <f t="shared" si="178"/>
        <v>2.8186779242174627</v>
      </c>
      <c r="AP468" s="1" t="str">
        <f>INDEX({"EAD";"EAD";"EAD";"EAD MOOC";"EAD";"EAD";"EAD FP";"EAD";"PRESENCIAL";"PRESENCIAL";"PRESENCIAL";"PRESENCIAL"}, MATCH(CONCATENATE(E468, ".", F468),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69" spans="1:42" x14ac:dyDescent="0.25">
      <c r="A469" s="1" t="s">
        <v>27</v>
      </c>
      <c r="B469" s="1" t="s">
        <v>43</v>
      </c>
      <c r="C469" s="1" t="s">
        <v>29</v>
      </c>
      <c r="D469" s="1" t="s">
        <v>44</v>
      </c>
      <c r="E469" s="1" t="s">
        <v>120</v>
      </c>
      <c r="F469" s="1" t="s">
        <v>21</v>
      </c>
      <c r="G469" s="1" t="s">
        <v>121</v>
      </c>
      <c r="H469" s="1" t="s">
        <v>506</v>
      </c>
      <c r="I469" s="1" t="s">
        <v>209</v>
      </c>
      <c r="J469" s="1" t="s">
        <v>125</v>
      </c>
      <c r="K469" s="1" t="s">
        <v>109</v>
      </c>
      <c r="L469" s="1">
        <v>2760789</v>
      </c>
      <c r="M469" s="1" t="s">
        <v>679</v>
      </c>
      <c r="N469" s="5">
        <f t="shared" si="179"/>
        <v>44312</v>
      </c>
      <c r="O469" s="5">
        <f>DATE(2025,12,23)</f>
        <v>46014</v>
      </c>
      <c r="P469" s="5">
        <f t="shared" si="159"/>
        <v>47109</v>
      </c>
      <c r="Q469" s="1">
        <v>4460</v>
      </c>
      <c r="R469" s="1">
        <v>3200</v>
      </c>
      <c r="S469" s="1">
        <f t="shared" si="160"/>
        <v>3200</v>
      </c>
      <c r="T469" s="1">
        <v>2.5</v>
      </c>
      <c r="U469" s="1" t="str">
        <f t="shared" si="161"/>
        <v>SIM</v>
      </c>
      <c r="V469" s="1">
        <f t="shared" si="162"/>
        <v>1703</v>
      </c>
      <c r="W469" s="4">
        <f t="shared" si="163"/>
        <v>1.8790369935408104</v>
      </c>
      <c r="X469" s="4">
        <f t="shared" si="164"/>
        <v>685.84850264239583</v>
      </c>
      <c r="Y469" s="4">
        <f t="shared" si="165"/>
        <v>0.85731062830299476</v>
      </c>
      <c r="AB469" s="5">
        <f t="shared" si="166"/>
        <v>45292</v>
      </c>
      <c r="AC469" s="5">
        <f t="shared" si="167"/>
        <v>45657</v>
      </c>
      <c r="AD469" s="1">
        <v>23</v>
      </c>
      <c r="AE469" s="1">
        <f t="shared" si="168"/>
        <v>366</v>
      </c>
      <c r="AF469" s="1">
        <f t="shared" si="169"/>
        <v>0</v>
      </c>
      <c r="AG469" s="1">
        <f t="shared" si="170"/>
        <v>0</v>
      </c>
      <c r="AH469" s="1">
        <f t="shared" si="171"/>
        <v>0</v>
      </c>
      <c r="AI469" s="1">
        <f t="shared" si="172"/>
        <v>0</v>
      </c>
      <c r="AJ469" s="3">
        <f t="shared" si="173"/>
        <v>1</v>
      </c>
      <c r="AK469" s="3">
        <f t="shared" si="174"/>
        <v>0.85731062830299476</v>
      </c>
      <c r="AL469" s="3">
        <f t="shared" si="175"/>
        <v>19.718144450968879</v>
      </c>
      <c r="AM469" s="3">
        <f t="shared" si="176"/>
        <v>49.295361127422197</v>
      </c>
      <c r="AN469" s="3">
        <f t="shared" si="177"/>
        <v>0</v>
      </c>
      <c r="AO469" s="3">
        <f t="shared" si="178"/>
        <v>49.295361127422197</v>
      </c>
      <c r="AP469" s="1" t="str">
        <f>INDEX({"EAD";"EAD";"EAD";"EAD MOOC";"EAD";"EAD";"EAD FP";"EAD";"PRESENCIAL";"PRESENCIAL";"PRESENCIAL";"PRESENCIAL"}, MATCH(CONCATENATE(E469, ".", F469),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70" spans="1:42" x14ac:dyDescent="0.25">
      <c r="A470" s="1" t="s">
        <v>27</v>
      </c>
      <c r="B470" s="1" t="s">
        <v>43</v>
      </c>
      <c r="C470" s="1" t="s">
        <v>29</v>
      </c>
      <c r="D470" s="1" t="s">
        <v>44</v>
      </c>
      <c r="E470" s="1" t="s">
        <v>120</v>
      </c>
      <c r="F470" s="1" t="s">
        <v>21</v>
      </c>
      <c r="G470" s="1" t="s">
        <v>121</v>
      </c>
      <c r="H470" s="1" t="s">
        <v>508</v>
      </c>
      <c r="I470" s="1" t="s">
        <v>503</v>
      </c>
      <c r="J470" s="1" t="s">
        <v>125</v>
      </c>
      <c r="K470" s="1" t="s">
        <v>109</v>
      </c>
      <c r="L470" s="1">
        <v>2760790</v>
      </c>
      <c r="M470" s="1" t="s">
        <v>680</v>
      </c>
      <c r="N470" s="5">
        <f t="shared" si="179"/>
        <v>44312</v>
      </c>
      <c r="O470" s="5">
        <f>DATE(2025,12,23)</f>
        <v>46014</v>
      </c>
      <c r="P470" s="5">
        <f t="shared" si="159"/>
        <v>47109</v>
      </c>
      <c r="Q470" s="1">
        <v>4610</v>
      </c>
      <c r="R470" s="1">
        <v>3600</v>
      </c>
      <c r="S470" s="1">
        <f t="shared" si="160"/>
        <v>3600</v>
      </c>
      <c r="T470" s="1">
        <v>2.5</v>
      </c>
      <c r="U470" s="1" t="str">
        <f t="shared" si="161"/>
        <v>SIM</v>
      </c>
      <c r="V470" s="1">
        <f t="shared" si="162"/>
        <v>1703</v>
      </c>
      <c r="W470" s="4">
        <f t="shared" si="163"/>
        <v>2.1139166177334117</v>
      </c>
      <c r="X470" s="4">
        <f t="shared" si="164"/>
        <v>771.57956547269521</v>
      </c>
      <c r="Y470" s="4">
        <f t="shared" si="165"/>
        <v>0.96447445684086897</v>
      </c>
      <c r="AB470" s="5">
        <f t="shared" si="166"/>
        <v>45292</v>
      </c>
      <c r="AC470" s="5">
        <f t="shared" si="167"/>
        <v>45657</v>
      </c>
      <c r="AD470" s="1">
        <v>21</v>
      </c>
      <c r="AE470" s="1">
        <f t="shared" si="168"/>
        <v>366</v>
      </c>
      <c r="AF470" s="1">
        <f t="shared" si="169"/>
        <v>0</v>
      </c>
      <c r="AG470" s="1">
        <f t="shared" si="170"/>
        <v>0</v>
      </c>
      <c r="AH470" s="1">
        <f t="shared" si="171"/>
        <v>0</v>
      </c>
      <c r="AI470" s="1">
        <f t="shared" si="172"/>
        <v>0</v>
      </c>
      <c r="AJ470" s="3">
        <f t="shared" si="173"/>
        <v>1</v>
      </c>
      <c r="AK470" s="3">
        <f t="shared" si="174"/>
        <v>0.96447445684086897</v>
      </c>
      <c r="AL470" s="3">
        <f t="shared" si="175"/>
        <v>20.253963593658248</v>
      </c>
      <c r="AM470" s="3">
        <f t="shared" si="176"/>
        <v>50.634908984145625</v>
      </c>
      <c r="AN470" s="3">
        <f t="shared" si="177"/>
        <v>0</v>
      </c>
      <c r="AO470" s="3">
        <f t="shared" si="178"/>
        <v>50.634908984145625</v>
      </c>
      <c r="AP470" s="1" t="str">
        <f>INDEX({"EAD";"EAD";"EAD";"EAD MOOC";"EAD";"EAD";"EAD FP";"EAD";"PRESENCIAL";"PRESENCIAL";"PRESENCIAL";"PRESENCIAL"}, MATCH(CONCATENATE(E470, ".", F470),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71" spans="1:42" x14ac:dyDescent="0.25">
      <c r="A471" s="1" t="s">
        <v>27</v>
      </c>
      <c r="B471" s="1" t="s">
        <v>43</v>
      </c>
      <c r="C471" s="1" t="s">
        <v>29</v>
      </c>
      <c r="D471" s="1" t="s">
        <v>44</v>
      </c>
      <c r="E471" s="1" t="s">
        <v>120</v>
      </c>
      <c r="F471" s="1" t="s">
        <v>21</v>
      </c>
      <c r="G471" s="1" t="s">
        <v>121</v>
      </c>
      <c r="H471" s="1" t="s">
        <v>662</v>
      </c>
      <c r="I471" s="1" t="s">
        <v>503</v>
      </c>
      <c r="J471" s="1" t="s">
        <v>125</v>
      </c>
      <c r="K471" s="1" t="s">
        <v>109</v>
      </c>
      <c r="L471" s="1">
        <v>2760791</v>
      </c>
      <c r="M471" s="1" t="s">
        <v>681</v>
      </c>
      <c r="N471" s="5">
        <f t="shared" si="179"/>
        <v>44312</v>
      </c>
      <c r="O471" s="5">
        <f>DATE(2025,12,23)</f>
        <v>46014</v>
      </c>
      <c r="P471" s="5">
        <f t="shared" si="159"/>
        <v>47109</v>
      </c>
      <c r="Q471" s="1">
        <v>3662</v>
      </c>
      <c r="R471" s="1">
        <v>3600</v>
      </c>
      <c r="S471" s="1">
        <f t="shared" si="160"/>
        <v>3600</v>
      </c>
      <c r="T471" s="1">
        <v>2.5</v>
      </c>
      <c r="U471" s="1" t="str">
        <f t="shared" si="161"/>
        <v>SIM</v>
      </c>
      <c r="V471" s="1">
        <f t="shared" si="162"/>
        <v>1703</v>
      </c>
      <c r="W471" s="4">
        <f t="shared" si="163"/>
        <v>2.1139166177334117</v>
      </c>
      <c r="X471" s="4">
        <f t="shared" si="164"/>
        <v>771.57956547269521</v>
      </c>
      <c r="Y471" s="4">
        <f t="shared" si="165"/>
        <v>0.96447445684086897</v>
      </c>
      <c r="AB471" s="5">
        <f t="shared" si="166"/>
        <v>45292</v>
      </c>
      <c r="AC471" s="5">
        <f t="shared" si="167"/>
        <v>45657</v>
      </c>
      <c r="AD471" s="1">
        <v>51</v>
      </c>
      <c r="AE471" s="1">
        <f t="shared" si="168"/>
        <v>366</v>
      </c>
      <c r="AF471" s="1">
        <f t="shared" si="169"/>
        <v>0</v>
      </c>
      <c r="AG471" s="1">
        <f t="shared" si="170"/>
        <v>0</v>
      </c>
      <c r="AH471" s="1">
        <f t="shared" si="171"/>
        <v>0</v>
      </c>
      <c r="AI471" s="1">
        <f t="shared" si="172"/>
        <v>0</v>
      </c>
      <c r="AJ471" s="3">
        <f t="shared" si="173"/>
        <v>1</v>
      </c>
      <c r="AK471" s="3">
        <f t="shared" si="174"/>
        <v>0.96447445684086897</v>
      </c>
      <c r="AL471" s="3">
        <f t="shared" si="175"/>
        <v>49.188197298884319</v>
      </c>
      <c r="AM471" s="3">
        <f t="shared" si="176"/>
        <v>122.9704932472108</v>
      </c>
      <c r="AN471" s="3">
        <f t="shared" si="177"/>
        <v>0</v>
      </c>
      <c r="AO471" s="3">
        <f t="shared" si="178"/>
        <v>122.9704932472108</v>
      </c>
      <c r="AP471" s="1" t="str">
        <f>INDEX({"EAD";"EAD";"EAD";"EAD MOOC";"EAD";"EAD";"EAD FP";"EAD";"PRESENCIAL";"PRESENCIAL";"PRESENCIAL";"PRESENCIAL"}, MATCH(CONCATENATE(E471, ".", F471),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72" spans="1:42" x14ac:dyDescent="0.25">
      <c r="A472" s="1" t="s">
        <v>27</v>
      </c>
      <c r="B472" s="1" t="s">
        <v>43</v>
      </c>
      <c r="C472" s="1" t="s">
        <v>29</v>
      </c>
      <c r="D472" s="1" t="s">
        <v>44</v>
      </c>
      <c r="E472" s="1" t="s">
        <v>120</v>
      </c>
      <c r="F472" s="1" t="s">
        <v>21</v>
      </c>
      <c r="G472" s="1" t="s">
        <v>121</v>
      </c>
      <c r="H472" s="1" t="s">
        <v>495</v>
      </c>
      <c r="I472" s="1" t="s">
        <v>124</v>
      </c>
      <c r="J472" s="1" t="s">
        <v>125</v>
      </c>
      <c r="K472" s="1" t="s">
        <v>109</v>
      </c>
      <c r="L472" s="1">
        <v>2760792</v>
      </c>
      <c r="M472" s="1" t="s">
        <v>682</v>
      </c>
      <c r="N472" s="5">
        <f t="shared" si="179"/>
        <v>44312</v>
      </c>
      <c r="O472" s="5">
        <f>DATE(2023,12,23)</f>
        <v>45283</v>
      </c>
      <c r="P472" s="5">
        <f t="shared" si="159"/>
        <v>46378</v>
      </c>
      <c r="Q472" s="1">
        <v>2587</v>
      </c>
      <c r="R472" s="1">
        <v>2400</v>
      </c>
      <c r="S472" s="1">
        <f t="shared" si="160"/>
        <v>2400</v>
      </c>
      <c r="T472" s="1">
        <v>1</v>
      </c>
      <c r="U472" s="1" t="str">
        <f t="shared" si="161"/>
        <v>SIM</v>
      </c>
      <c r="V472" s="1">
        <f t="shared" si="162"/>
        <v>972</v>
      </c>
      <c r="W472" s="4">
        <f t="shared" si="163"/>
        <v>2.4691358024691357</v>
      </c>
      <c r="X472" s="4">
        <f t="shared" si="164"/>
        <v>901.23456790123453</v>
      </c>
      <c r="Y472" s="4">
        <f t="shared" si="165"/>
        <v>1.1265432098765431</v>
      </c>
      <c r="AB472" s="5">
        <f t="shared" si="166"/>
        <v>45292</v>
      </c>
      <c r="AC472" s="5">
        <f t="shared" si="167"/>
        <v>45657</v>
      </c>
      <c r="AD472" s="1">
        <v>22</v>
      </c>
      <c r="AE472" s="1">
        <f t="shared" si="168"/>
        <v>0</v>
      </c>
      <c r="AF472" s="1">
        <f t="shared" si="169"/>
        <v>0</v>
      </c>
      <c r="AG472" s="1">
        <f t="shared" si="170"/>
        <v>0</v>
      </c>
      <c r="AH472" s="1">
        <f t="shared" si="171"/>
        <v>0</v>
      </c>
      <c r="AI472" s="1">
        <f t="shared" si="172"/>
        <v>183</v>
      </c>
      <c r="AJ472" s="3">
        <f t="shared" si="173"/>
        <v>0.5</v>
      </c>
      <c r="AK472" s="3">
        <f t="shared" si="174"/>
        <v>0.56327160493827155</v>
      </c>
      <c r="AL472" s="3">
        <f t="shared" si="175"/>
        <v>6.1959876543209873</v>
      </c>
      <c r="AM472" s="3">
        <f t="shared" si="176"/>
        <v>6.1959876543209873</v>
      </c>
      <c r="AN472" s="3">
        <f t="shared" si="177"/>
        <v>0</v>
      </c>
      <c r="AO472" s="3">
        <f t="shared" si="178"/>
        <v>6.1959876543209873</v>
      </c>
      <c r="AP472" s="1" t="str">
        <f>INDEX({"EAD";"EAD";"EAD";"EAD MOOC";"EAD";"EAD";"EAD FP";"EAD";"PRESENCIAL";"PRESENCIAL";"PRESENCIAL";"PRESENCIAL"}, MATCH(CONCATENATE(E472, ".", F472),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73" spans="1:42" x14ac:dyDescent="0.25">
      <c r="A473" s="1" t="s">
        <v>27</v>
      </c>
      <c r="B473" s="1" t="s">
        <v>43</v>
      </c>
      <c r="C473" s="1" t="s">
        <v>29</v>
      </c>
      <c r="D473" s="1" t="s">
        <v>44</v>
      </c>
      <c r="E473" s="1" t="s">
        <v>120</v>
      </c>
      <c r="F473" s="1" t="s">
        <v>21</v>
      </c>
      <c r="G473" s="1" t="s">
        <v>121</v>
      </c>
      <c r="H473" s="1" t="s">
        <v>537</v>
      </c>
      <c r="I473" s="1" t="s">
        <v>187</v>
      </c>
      <c r="J473" s="1" t="s">
        <v>125</v>
      </c>
      <c r="K473" s="1" t="s">
        <v>109</v>
      </c>
      <c r="L473" s="1">
        <v>2760793</v>
      </c>
      <c r="M473" s="1" t="s">
        <v>683</v>
      </c>
      <c r="N473" s="5">
        <f t="shared" si="179"/>
        <v>44312</v>
      </c>
      <c r="O473" s="5">
        <f>DATE(2023,12,23)</f>
        <v>45283</v>
      </c>
      <c r="P473" s="5">
        <f t="shared" si="159"/>
        <v>46378</v>
      </c>
      <c r="Q473" s="1">
        <v>2600</v>
      </c>
      <c r="R473" s="1">
        <v>2400</v>
      </c>
      <c r="S473" s="1">
        <f t="shared" si="160"/>
        <v>2400</v>
      </c>
      <c r="T473" s="1">
        <v>1</v>
      </c>
      <c r="U473" s="1" t="str">
        <f t="shared" si="161"/>
        <v>SIM</v>
      </c>
      <c r="V473" s="1">
        <f t="shared" si="162"/>
        <v>972</v>
      </c>
      <c r="W473" s="4">
        <f t="shared" si="163"/>
        <v>2.4691358024691357</v>
      </c>
      <c r="X473" s="4">
        <f t="shared" si="164"/>
        <v>901.23456790123453</v>
      </c>
      <c r="Y473" s="4">
        <f t="shared" si="165"/>
        <v>1.1265432098765431</v>
      </c>
      <c r="AB473" s="5">
        <f t="shared" si="166"/>
        <v>45292</v>
      </c>
      <c r="AC473" s="5">
        <f t="shared" si="167"/>
        <v>45657</v>
      </c>
      <c r="AD473" s="1">
        <v>12</v>
      </c>
      <c r="AE473" s="1">
        <f t="shared" si="168"/>
        <v>0</v>
      </c>
      <c r="AF473" s="1">
        <f t="shared" si="169"/>
        <v>0</v>
      </c>
      <c r="AG473" s="1">
        <f t="shared" si="170"/>
        <v>0</v>
      </c>
      <c r="AH473" s="1">
        <f t="shared" si="171"/>
        <v>0</v>
      </c>
      <c r="AI473" s="1">
        <f t="shared" si="172"/>
        <v>183</v>
      </c>
      <c r="AJ473" s="3">
        <f t="shared" si="173"/>
        <v>0.5</v>
      </c>
      <c r="AK473" s="3">
        <f t="shared" si="174"/>
        <v>0.56327160493827155</v>
      </c>
      <c r="AL473" s="3">
        <f t="shared" si="175"/>
        <v>3.3796296296296293</v>
      </c>
      <c r="AM473" s="3">
        <f t="shared" si="176"/>
        <v>3.3796296296296293</v>
      </c>
      <c r="AN473" s="3">
        <f t="shared" si="177"/>
        <v>0</v>
      </c>
      <c r="AO473" s="3">
        <f t="shared" si="178"/>
        <v>3.3796296296296293</v>
      </c>
      <c r="AP473" s="1" t="str">
        <f>INDEX({"EAD";"EAD";"EAD";"EAD MOOC";"EAD";"EAD";"EAD FP";"EAD";"PRESENCIAL";"PRESENCIAL";"PRESENCIAL";"PRESENCIAL"}, MATCH(CONCATENATE(E473, ".", F473),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74" spans="1:42" x14ac:dyDescent="0.25">
      <c r="A474" s="1" t="s">
        <v>27</v>
      </c>
      <c r="B474" s="1" t="s">
        <v>43</v>
      </c>
      <c r="C474" s="1" t="s">
        <v>29</v>
      </c>
      <c r="D474" s="1" t="s">
        <v>44</v>
      </c>
      <c r="E474" s="1" t="s">
        <v>120</v>
      </c>
      <c r="F474" s="1" t="s">
        <v>21</v>
      </c>
      <c r="G474" s="1" t="s">
        <v>278</v>
      </c>
      <c r="H474" s="1" t="s">
        <v>629</v>
      </c>
      <c r="I474" s="1" t="s">
        <v>172</v>
      </c>
      <c r="J474" s="1" t="s">
        <v>125</v>
      </c>
      <c r="K474" s="1" t="s">
        <v>109</v>
      </c>
      <c r="L474" s="1">
        <v>2760794</v>
      </c>
      <c r="M474" s="1" t="s">
        <v>684</v>
      </c>
      <c r="N474" s="5">
        <f t="shared" si="179"/>
        <v>44312</v>
      </c>
      <c r="O474" s="5">
        <f>DATE(2024,12,23)</f>
        <v>45649</v>
      </c>
      <c r="P474" s="5">
        <f t="shared" si="159"/>
        <v>46744</v>
      </c>
      <c r="Q474" s="1">
        <v>3396</v>
      </c>
      <c r="R474" s="1">
        <v>3200</v>
      </c>
      <c r="S474" s="1">
        <f t="shared" si="160"/>
        <v>3200</v>
      </c>
      <c r="T474" s="1">
        <v>2.5</v>
      </c>
      <c r="U474" s="1" t="str">
        <f t="shared" si="161"/>
        <v>SIM</v>
      </c>
      <c r="V474" s="1">
        <f t="shared" si="162"/>
        <v>1338</v>
      </c>
      <c r="W474" s="4">
        <f t="shared" si="163"/>
        <v>2.391629297458894</v>
      </c>
      <c r="X474" s="4">
        <f t="shared" si="164"/>
        <v>872.94469357249625</v>
      </c>
      <c r="Y474" s="4">
        <f t="shared" si="165"/>
        <v>1.0911808669656202</v>
      </c>
      <c r="AB474" s="5">
        <f t="shared" si="166"/>
        <v>45292</v>
      </c>
      <c r="AC474" s="5">
        <f t="shared" si="167"/>
        <v>45657</v>
      </c>
      <c r="AD474" s="1">
        <v>33</v>
      </c>
      <c r="AE474" s="1">
        <f t="shared" si="168"/>
        <v>0</v>
      </c>
      <c r="AF474" s="1">
        <f t="shared" si="169"/>
        <v>0</v>
      </c>
      <c r="AG474" s="1">
        <f t="shared" si="170"/>
        <v>358</v>
      </c>
      <c r="AH474" s="1">
        <f t="shared" si="171"/>
        <v>0</v>
      </c>
      <c r="AI474" s="1">
        <f t="shared" si="172"/>
        <v>0</v>
      </c>
      <c r="AJ474" s="3">
        <f t="shared" si="173"/>
        <v>0.97814207650273222</v>
      </c>
      <c r="AK474" s="3">
        <f t="shared" si="174"/>
        <v>1.0673299190538033</v>
      </c>
      <c r="AL474" s="3">
        <f t="shared" si="175"/>
        <v>35.221887328775509</v>
      </c>
      <c r="AM474" s="3">
        <f t="shared" si="176"/>
        <v>88.054718321938765</v>
      </c>
      <c r="AN474" s="3">
        <f t="shared" si="177"/>
        <v>0</v>
      </c>
      <c r="AO474" s="3">
        <f t="shared" si="178"/>
        <v>88.054718321938765</v>
      </c>
      <c r="AP474" s="1" t="str">
        <f>INDEX({"EAD";"EAD";"EAD";"EAD MOOC";"EAD";"EAD";"EAD FP";"EAD";"PRESENCIAL";"PRESENCIAL";"PRESENCIAL";"PRESENCIAL"}, MATCH(CONCATENATE(E474, ".", F474),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75" spans="1:42" x14ac:dyDescent="0.25">
      <c r="A475" s="1" t="s">
        <v>27</v>
      </c>
      <c r="B475" s="1" t="s">
        <v>43</v>
      </c>
      <c r="C475" s="1" t="s">
        <v>29</v>
      </c>
      <c r="D475" s="1" t="s">
        <v>44</v>
      </c>
      <c r="E475" s="1" t="s">
        <v>120</v>
      </c>
      <c r="F475" s="1" t="s">
        <v>21</v>
      </c>
      <c r="G475" s="1" t="s">
        <v>140</v>
      </c>
      <c r="H475" s="1" t="s">
        <v>498</v>
      </c>
      <c r="I475" s="1" t="s">
        <v>289</v>
      </c>
      <c r="J475" s="1" t="s">
        <v>125</v>
      </c>
      <c r="K475" s="1" t="s">
        <v>109</v>
      </c>
      <c r="L475" s="1">
        <v>2760795</v>
      </c>
      <c r="M475" s="1" t="s">
        <v>685</v>
      </c>
      <c r="N475" s="5">
        <f t="shared" si="179"/>
        <v>44312</v>
      </c>
      <c r="O475" s="5">
        <f>DATE(2024,6,15)</f>
        <v>45458</v>
      </c>
      <c r="P475" s="5">
        <f t="shared" si="159"/>
        <v>46553</v>
      </c>
      <c r="Q475" s="1">
        <v>2648</v>
      </c>
      <c r="R475" s="1">
        <v>2400</v>
      </c>
      <c r="S475" s="1">
        <f t="shared" si="160"/>
        <v>2400</v>
      </c>
      <c r="T475" s="1">
        <v>2.5</v>
      </c>
      <c r="U475" s="1" t="str">
        <f t="shared" si="161"/>
        <v>SIM</v>
      </c>
      <c r="V475" s="1">
        <f t="shared" si="162"/>
        <v>1147</v>
      </c>
      <c r="W475" s="4">
        <f t="shared" si="163"/>
        <v>2.092414995640802</v>
      </c>
      <c r="X475" s="4">
        <f t="shared" si="164"/>
        <v>763.73147340889273</v>
      </c>
      <c r="Y475" s="4">
        <f t="shared" si="165"/>
        <v>0.95466434176111592</v>
      </c>
      <c r="AB475" s="5">
        <f t="shared" si="166"/>
        <v>45292</v>
      </c>
      <c r="AC475" s="5">
        <f t="shared" si="167"/>
        <v>45657</v>
      </c>
      <c r="AD475" s="1">
        <v>24</v>
      </c>
      <c r="AE475" s="1">
        <f t="shared" si="168"/>
        <v>0</v>
      </c>
      <c r="AF475" s="1">
        <f t="shared" si="169"/>
        <v>0</v>
      </c>
      <c r="AG475" s="1">
        <f t="shared" si="170"/>
        <v>167</v>
      </c>
      <c r="AH475" s="1">
        <f t="shared" si="171"/>
        <v>0</v>
      </c>
      <c r="AI475" s="1">
        <f t="shared" si="172"/>
        <v>0</v>
      </c>
      <c r="AJ475" s="3">
        <f t="shared" si="173"/>
        <v>0.45628415300546449</v>
      </c>
      <c r="AK475" s="3">
        <f t="shared" si="174"/>
        <v>0.43559821058499004</v>
      </c>
      <c r="AL475" s="3">
        <f t="shared" si="175"/>
        <v>10.454357054039761</v>
      </c>
      <c r="AM475" s="3">
        <f t="shared" si="176"/>
        <v>26.135892635099403</v>
      </c>
      <c r="AN475" s="3">
        <f t="shared" si="177"/>
        <v>0</v>
      </c>
      <c r="AO475" s="3">
        <f t="shared" si="178"/>
        <v>26.135892635099403</v>
      </c>
      <c r="AP475" s="1" t="str">
        <f>INDEX({"EAD";"EAD";"EAD";"EAD MOOC";"EAD";"EAD";"EAD FP";"EAD";"PRESENCIAL";"PRESENCIAL";"PRESENCIAL";"PRESENCIAL"}, MATCH(CONCATENATE(E475, ".", F475),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76" spans="1:42" x14ac:dyDescent="0.25">
      <c r="A476" s="1" t="s">
        <v>27</v>
      </c>
      <c r="B476" s="1" t="s">
        <v>43</v>
      </c>
      <c r="C476" s="1" t="s">
        <v>29</v>
      </c>
      <c r="D476" s="1" t="s">
        <v>44</v>
      </c>
      <c r="E476" s="1" t="s">
        <v>120</v>
      </c>
      <c r="F476" s="1" t="s">
        <v>21</v>
      </c>
      <c r="G476" s="1" t="s">
        <v>140</v>
      </c>
      <c r="H476" s="1" t="s">
        <v>529</v>
      </c>
      <c r="I476" s="1" t="s">
        <v>289</v>
      </c>
      <c r="J476" s="1" t="s">
        <v>125</v>
      </c>
      <c r="K476" s="1" t="s">
        <v>109</v>
      </c>
      <c r="L476" s="1">
        <v>2760796</v>
      </c>
      <c r="M476" s="1" t="s">
        <v>686</v>
      </c>
      <c r="N476" s="5">
        <f t="shared" si="179"/>
        <v>44312</v>
      </c>
      <c r="O476" s="5">
        <f>DATE(2023,12,23)</f>
        <v>45283</v>
      </c>
      <c r="P476" s="5">
        <f t="shared" si="159"/>
        <v>46378</v>
      </c>
      <c r="Q476" s="1">
        <v>2562</v>
      </c>
      <c r="R476" s="1">
        <v>2400</v>
      </c>
      <c r="S476" s="1">
        <f t="shared" si="160"/>
        <v>2400</v>
      </c>
      <c r="T476" s="1">
        <v>2.5</v>
      </c>
      <c r="U476" s="1" t="str">
        <f t="shared" si="161"/>
        <v>SIM</v>
      </c>
      <c r="V476" s="1">
        <f t="shared" si="162"/>
        <v>972</v>
      </c>
      <c r="W476" s="4">
        <f t="shared" si="163"/>
        <v>2.4691358024691357</v>
      </c>
      <c r="X476" s="4">
        <f t="shared" si="164"/>
        <v>901.23456790123453</v>
      </c>
      <c r="Y476" s="4">
        <f t="shared" si="165"/>
        <v>1.1265432098765431</v>
      </c>
      <c r="AB476" s="5">
        <f t="shared" si="166"/>
        <v>45292</v>
      </c>
      <c r="AC476" s="5">
        <f t="shared" si="167"/>
        <v>45657</v>
      </c>
      <c r="AD476" s="1">
        <v>20</v>
      </c>
      <c r="AE476" s="1">
        <f t="shared" si="168"/>
        <v>0</v>
      </c>
      <c r="AF476" s="1">
        <f t="shared" si="169"/>
        <v>0</v>
      </c>
      <c r="AG476" s="1">
        <f t="shared" si="170"/>
        <v>0</v>
      </c>
      <c r="AH476" s="1">
        <f t="shared" si="171"/>
        <v>0</v>
      </c>
      <c r="AI476" s="1">
        <f t="shared" si="172"/>
        <v>183</v>
      </c>
      <c r="AJ476" s="3">
        <f t="shared" si="173"/>
        <v>0.5</v>
      </c>
      <c r="AK476" s="3">
        <f t="shared" si="174"/>
        <v>0.56327160493827155</v>
      </c>
      <c r="AL476" s="3">
        <f t="shared" si="175"/>
        <v>5.6327160493827151</v>
      </c>
      <c r="AM476" s="3">
        <f t="shared" si="176"/>
        <v>14.081790123456788</v>
      </c>
      <c r="AN476" s="3">
        <f t="shared" si="177"/>
        <v>0</v>
      </c>
      <c r="AO476" s="3">
        <f t="shared" si="178"/>
        <v>14.081790123456788</v>
      </c>
      <c r="AP476" s="1" t="str">
        <f>INDEX({"EAD";"EAD";"EAD";"EAD MOOC";"EAD";"EAD";"EAD FP";"EAD";"PRESENCIAL";"PRESENCIAL";"PRESENCIAL";"PRESENCIAL"}, MATCH(CONCATENATE(E476, ".", F476),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77" spans="1:42" x14ac:dyDescent="0.25">
      <c r="A477" s="1" t="s">
        <v>27</v>
      </c>
      <c r="B477" s="1" t="s">
        <v>43</v>
      </c>
      <c r="C477" s="1" t="s">
        <v>29</v>
      </c>
      <c r="D477" s="1" t="s">
        <v>44</v>
      </c>
      <c r="E477" s="1" t="s">
        <v>120</v>
      </c>
      <c r="F477" s="1" t="s">
        <v>21</v>
      </c>
      <c r="G477" s="1" t="s">
        <v>140</v>
      </c>
      <c r="H477" s="1" t="s">
        <v>534</v>
      </c>
      <c r="I477" s="1" t="s">
        <v>289</v>
      </c>
      <c r="J477" s="1" t="s">
        <v>125</v>
      </c>
      <c r="K477" s="1" t="s">
        <v>109</v>
      </c>
      <c r="L477" s="1">
        <v>2760797</v>
      </c>
      <c r="M477" s="1" t="s">
        <v>687</v>
      </c>
      <c r="N477" s="5">
        <f t="shared" si="179"/>
        <v>44312</v>
      </c>
      <c r="O477" s="5">
        <f>DATE(2023,12,23)</f>
        <v>45283</v>
      </c>
      <c r="P477" s="5">
        <f t="shared" si="159"/>
        <v>46378</v>
      </c>
      <c r="Q477" s="1">
        <v>2548</v>
      </c>
      <c r="R477" s="1">
        <v>2400</v>
      </c>
      <c r="S477" s="1">
        <f t="shared" si="160"/>
        <v>2400</v>
      </c>
      <c r="T477" s="1">
        <v>2.5</v>
      </c>
      <c r="U477" s="1" t="str">
        <f t="shared" si="161"/>
        <v>SIM</v>
      </c>
      <c r="V477" s="1">
        <f t="shared" si="162"/>
        <v>972</v>
      </c>
      <c r="W477" s="4">
        <f t="shared" si="163"/>
        <v>2.4691358024691357</v>
      </c>
      <c r="X477" s="4">
        <f t="shared" si="164"/>
        <v>901.23456790123453</v>
      </c>
      <c r="Y477" s="4">
        <f t="shared" si="165"/>
        <v>1.1265432098765431</v>
      </c>
      <c r="AB477" s="5">
        <f t="shared" si="166"/>
        <v>45292</v>
      </c>
      <c r="AC477" s="5">
        <f t="shared" si="167"/>
        <v>45657</v>
      </c>
      <c r="AD477" s="1">
        <v>22</v>
      </c>
      <c r="AE477" s="1">
        <f t="shared" si="168"/>
        <v>0</v>
      </c>
      <c r="AF477" s="1">
        <f t="shared" si="169"/>
        <v>0</v>
      </c>
      <c r="AG477" s="1">
        <f t="shared" si="170"/>
        <v>0</v>
      </c>
      <c r="AH477" s="1">
        <f t="shared" si="171"/>
        <v>0</v>
      </c>
      <c r="AI477" s="1">
        <f t="shared" si="172"/>
        <v>183</v>
      </c>
      <c r="AJ477" s="3">
        <f t="shared" si="173"/>
        <v>0.5</v>
      </c>
      <c r="AK477" s="3">
        <f t="shared" si="174"/>
        <v>0.56327160493827155</v>
      </c>
      <c r="AL477" s="3">
        <f t="shared" si="175"/>
        <v>6.1959876543209873</v>
      </c>
      <c r="AM477" s="3">
        <f t="shared" si="176"/>
        <v>15.489969135802468</v>
      </c>
      <c r="AN477" s="3">
        <f t="shared" si="177"/>
        <v>0</v>
      </c>
      <c r="AO477" s="3">
        <f t="shared" si="178"/>
        <v>15.489969135802468</v>
      </c>
      <c r="AP477" s="1" t="str">
        <f>INDEX({"EAD";"EAD";"EAD";"EAD MOOC";"EAD";"EAD";"EAD FP";"EAD";"PRESENCIAL";"PRESENCIAL";"PRESENCIAL";"PRESENCIAL"}, MATCH(CONCATENATE(E477, ".", F477),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78" spans="1:42" x14ac:dyDescent="0.25">
      <c r="A478" s="1" t="s">
        <v>27</v>
      </c>
      <c r="B478" s="1" t="s">
        <v>43</v>
      </c>
      <c r="C478" s="1" t="s">
        <v>29</v>
      </c>
      <c r="D478" s="1" t="s">
        <v>44</v>
      </c>
      <c r="E478" s="1" t="s">
        <v>120</v>
      </c>
      <c r="F478" s="1" t="s">
        <v>21</v>
      </c>
      <c r="G478" s="1" t="s">
        <v>140</v>
      </c>
      <c r="H478" s="1" t="s">
        <v>550</v>
      </c>
      <c r="I478" s="1" t="s">
        <v>209</v>
      </c>
      <c r="J478" s="1" t="s">
        <v>125</v>
      </c>
      <c r="K478" s="1" t="s">
        <v>109</v>
      </c>
      <c r="L478" s="1">
        <v>2760798</v>
      </c>
      <c r="M478" s="1" t="s">
        <v>688</v>
      </c>
      <c r="N478" s="5">
        <f t="shared" si="179"/>
        <v>44312</v>
      </c>
      <c r="O478" s="5">
        <f>DATE(2023,12,23)</f>
        <v>45283</v>
      </c>
      <c r="P478" s="5">
        <f t="shared" si="159"/>
        <v>46378</v>
      </c>
      <c r="Q478" s="1">
        <v>2130</v>
      </c>
      <c r="R478" s="1">
        <v>2000</v>
      </c>
      <c r="S478" s="1">
        <f t="shared" si="160"/>
        <v>2000</v>
      </c>
      <c r="T478" s="1">
        <v>1.5</v>
      </c>
      <c r="U478" s="1" t="str">
        <f t="shared" si="161"/>
        <v>SIM</v>
      </c>
      <c r="V478" s="1">
        <f t="shared" si="162"/>
        <v>972</v>
      </c>
      <c r="W478" s="4">
        <f t="shared" si="163"/>
        <v>2.0576131687242798</v>
      </c>
      <c r="X478" s="4">
        <f t="shared" si="164"/>
        <v>751.02880658436209</v>
      </c>
      <c r="Y478" s="4">
        <f t="shared" si="165"/>
        <v>0.93878600823045266</v>
      </c>
      <c r="AB478" s="5">
        <f t="shared" si="166"/>
        <v>45292</v>
      </c>
      <c r="AC478" s="5">
        <f t="shared" si="167"/>
        <v>45657</v>
      </c>
      <c r="AD478" s="1">
        <v>13</v>
      </c>
      <c r="AE478" s="1">
        <f t="shared" si="168"/>
        <v>0</v>
      </c>
      <c r="AF478" s="1">
        <f t="shared" si="169"/>
        <v>0</v>
      </c>
      <c r="AG478" s="1">
        <f t="shared" si="170"/>
        <v>0</v>
      </c>
      <c r="AH478" s="1">
        <f t="shared" si="171"/>
        <v>0</v>
      </c>
      <c r="AI478" s="1">
        <f t="shared" si="172"/>
        <v>183</v>
      </c>
      <c r="AJ478" s="3">
        <f t="shared" si="173"/>
        <v>0.5</v>
      </c>
      <c r="AK478" s="3">
        <f t="shared" si="174"/>
        <v>0.46939300411522633</v>
      </c>
      <c r="AL478" s="3">
        <f t="shared" si="175"/>
        <v>3.0510545267489713</v>
      </c>
      <c r="AM478" s="3">
        <f t="shared" si="176"/>
        <v>4.5765817901234573</v>
      </c>
      <c r="AN478" s="3">
        <f t="shared" si="177"/>
        <v>0</v>
      </c>
      <c r="AO478" s="3">
        <f t="shared" si="178"/>
        <v>4.5765817901234573</v>
      </c>
      <c r="AP478" s="1" t="str">
        <f>INDEX({"EAD";"EAD";"EAD";"EAD MOOC";"EAD";"EAD";"EAD FP";"EAD";"PRESENCIAL";"PRESENCIAL";"PRESENCIAL";"PRESENCIAL"}, MATCH(CONCATENATE(E478, ".", F478),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79" spans="1:42" x14ac:dyDescent="0.25">
      <c r="A479" s="1" t="s">
        <v>27</v>
      </c>
      <c r="B479" s="1" t="s">
        <v>43</v>
      </c>
      <c r="C479" s="1" t="s">
        <v>29</v>
      </c>
      <c r="D479" s="1" t="s">
        <v>44</v>
      </c>
      <c r="E479" s="1" t="s">
        <v>120</v>
      </c>
      <c r="F479" s="1" t="s">
        <v>21</v>
      </c>
      <c r="G479" s="1" t="s">
        <v>140</v>
      </c>
      <c r="H479" s="1" t="s">
        <v>500</v>
      </c>
      <c r="I479" s="1" t="s">
        <v>209</v>
      </c>
      <c r="J479" s="1" t="s">
        <v>125</v>
      </c>
      <c r="K479" s="1" t="s">
        <v>109</v>
      </c>
      <c r="L479" s="1">
        <v>2760799</v>
      </c>
      <c r="M479" s="1" t="s">
        <v>689</v>
      </c>
      <c r="N479" s="5">
        <f t="shared" si="179"/>
        <v>44312</v>
      </c>
      <c r="O479" s="5">
        <f>DATE(2023,12,23)</f>
        <v>45283</v>
      </c>
      <c r="P479" s="5">
        <f t="shared" si="159"/>
        <v>46378</v>
      </c>
      <c r="Q479" s="1">
        <v>2130</v>
      </c>
      <c r="R479" s="1">
        <v>2000</v>
      </c>
      <c r="S479" s="1">
        <f t="shared" si="160"/>
        <v>2000</v>
      </c>
      <c r="T479" s="1">
        <v>1</v>
      </c>
      <c r="U479" s="1" t="str">
        <f t="shared" si="161"/>
        <v>SIM</v>
      </c>
      <c r="V479" s="1">
        <f t="shared" si="162"/>
        <v>972</v>
      </c>
      <c r="W479" s="4">
        <f t="shared" si="163"/>
        <v>2.0576131687242798</v>
      </c>
      <c r="X479" s="4">
        <f t="shared" si="164"/>
        <v>751.02880658436209</v>
      </c>
      <c r="Y479" s="4">
        <f t="shared" si="165"/>
        <v>0.93878600823045266</v>
      </c>
      <c r="AB479" s="5">
        <f t="shared" si="166"/>
        <v>45292</v>
      </c>
      <c r="AC479" s="5">
        <f t="shared" si="167"/>
        <v>45657</v>
      </c>
      <c r="AD479" s="1">
        <v>28</v>
      </c>
      <c r="AE479" s="1">
        <f t="shared" si="168"/>
        <v>0</v>
      </c>
      <c r="AF479" s="1">
        <f t="shared" si="169"/>
        <v>0</v>
      </c>
      <c r="AG479" s="1">
        <f t="shared" si="170"/>
        <v>0</v>
      </c>
      <c r="AH479" s="1">
        <f t="shared" si="171"/>
        <v>0</v>
      </c>
      <c r="AI479" s="1">
        <f t="shared" si="172"/>
        <v>183</v>
      </c>
      <c r="AJ479" s="3">
        <f t="shared" si="173"/>
        <v>0.5</v>
      </c>
      <c r="AK479" s="3">
        <f t="shared" si="174"/>
        <v>0.46939300411522633</v>
      </c>
      <c r="AL479" s="3">
        <f t="shared" si="175"/>
        <v>6.5715020576131682</v>
      </c>
      <c r="AM479" s="3">
        <f t="shared" si="176"/>
        <v>6.5715020576131682</v>
      </c>
      <c r="AN479" s="3">
        <f t="shared" si="177"/>
        <v>0</v>
      </c>
      <c r="AO479" s="3">
        <f t="shared" si="178"/>
        <v>6.5715020576131682</v>
      </c>
      <c r="AP479" s="1" t="str">
        <f>INDEX({"EAD";"EAD";"EAD";"EAD MOOC";"EAD";"EAD";"EAD FP";"EAD";"PRESENCIAL";"PRESENCIAL";"PRESENCIAL";"PRESENCIAL"}, MATCH(CONCATENATE(E479, ".", F479),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80" spans="1:42" x14ac:dyDescent="0.25">
      <c r="A480" s="1" t="s">
        <v>27</v>
      </c>
      <c r="B480" s="1" t="s">
        <v>43</v>
      </c>
      <c r="C480" s="1" t="s">
        <v>29</v>
      </c>
      <c r="D480" s="1" t="s">
        <v>44</v>
      </c>
      <c r="E480" s="1" t="s">
        <v>120</v>
      </c>
      <c r="F480" s="1" t="s">
        <v>21</v>
      </c>
      <c r="G480" s="1" t="s">
        <v>140</v>
      </c>
      <c r="H480" s="1" t="s">
        <v>498</v>
      </c>
      <c r="I480" s="1" t="s">
        <v>289</v>
      </c>
      <c r="J480" s="1" t="s">
        <v>125</v>
      </c>
      <c r="K480" s="1" t="s">
        <v>109</v>
      </c>
      <c r="L480" s="1">
        <v>2798274</v>
      </c>
      <c r="M480" s="1" t="s">
        <v>690</v>
      </c>
      <c r="N480" s="5">
        <f t="shared" ref="N480:N493" si="180">DATE(2021,8,30)</f>
        <v>44438</v>
      </c>
      <c r="O480" s="5">
        <f>DATE(2024,12,23)</f>
        <v>45649</v>
      </c>
      <c r="P480" s="5">
        <f t="shared" si="159"/>
        <v>46744</v>
      </c>
      <c r="Q480" s="1">
        <v>2648</v>
      </c>
      <c r="R480" s="1">
        <v>2400</v>
      </c>
      <c r="S480" s="1">
        <f t="shared" si="160"/>
        <v>2400</v>
      </c>
      <c r="T480" s="1">
        <v>2.5</v>
      </c>
      <c r="U480" s="1" t="str">
        <f t="shared" si="161"/>
        <v>SIM</v>
      </c>
      <c r="V480" s="1">
        <f t="shared" si="162"/>
        <v>1212</v>
      </c>
      <c r="W480" s="4">
        <f t="shared" si="163"/>
        <v>1.9801980198019802</v>
      </c>
      <c r="X480" s="4">
        <f t="shared" si="164"/>
        <v>722.77227722772273</v>
      </c>
      <c r="Y480" s="4">
        <f t="shared" si="165"/>
        <v>0.90346534653465338</v>
      </c>
      <c r="AB480" s="5">
        <f t="shared" si="166"/>
        <v>45292</v>
      </c>
      <c r="AC480" s="5">
        <f t="shared" si="167"/>
        <v>45657</v>
      </c>
      <c r="AD480" s="1">
        <v>19</v>
      </c>
      <c r="AE480" s="1">
        <f t="shared" si="168"/>
        <v>0</v>
      </c>
      <c r="AF480" s="1">
        <f t="shared" si="169"/>
        <v>0</v>
      </c>
      <c r="AG480" s="1">
        <f t="shared" si="170"/>
        <v>358</v>
      </c>
      <c r="AH480" s="1">
        <f t="shared" si="171"/>
        <v>0</v>
      </c>
      <c r="AI480" s="1">
        <f t="shared" si="172"/>
        <v>0</v>
      </c>
      <c r="AJ480" s="3">
        <f t="shared" si="173"/>
        <v>0.97814207650273222</v>
      </c>
      <c r="AK480" s="3">
        <f t="shared" si="174"/>
        <v>0.88371747010766644</v>
      </c>
      <c r="AL480" s="3">
        <f t="shared" si="175"/>
        <v>16.790631932045663</v>
      </c>
      <c r="AM480" s="3">
        <f t="shared" si="176"/>
        <v>41.976579830114161</v>
      </c>
      <c r="AN480" s="3">
        <f t="shared" si="177"/>
        <v>0</v>
      </c>
      <c r="AO480" s="3">
        <f t="shared" si="178"/>
        <v>41.976579830114161</v>
      </c>
      <c r="AP480" s="1" t="str">
        <f>INDEX({"EAD";"EAD";"EAD";"EAD MOOC";"EAD";"EAD";"EAD FP";"EAD";"PRESENCIAL";"PRESENCIAL";"PRESENCIAL";"PRESENCIAL"}, MATCH(CONCATENATE(E480, ".", F480),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81" spans="1:42" x14ac:dyDescent="0.25">
      <c r="A481" s="1" t="s">
        <v>27</v>
      </c>
      <c r="B481" s="1" t="s">
        <v>43</v>
      </c>
      <c r="C481" s="1" t="s">
        <v>29</v>
      </c>
      <c r="D481" s="1" t="s">
        <v>44</v>
      </c>
      <c r="E481" s="1" t="s">
        <v>120</v>
      </c>
      <c r="F481" s="1" t="s">
        <v>21</v>
      </c>
      <c r="G481" s="1" t="s">
        <v>140</v>
      </c>
      <c r="H481" s="1" t="s">
        <v>529</v>
      </c>
      <c r="I481" s="1" t="s">
        <v>289</v>
      </c>
      <c r="J481" s="1" t="s">
        <v>125</v>
      </c>
      <c r="K481" s="1" t="s">
        <v>109</v>
      </c>
      <c r="L481" s="1">
        <v>2798275</v>
      </c>
      <c r="M481" s="1" t="s">
        <v>691</v>
      </c>
      <c r="N481" s="5">
        <f t="shared" si="180"/>
        <v>44438</v>
      </c>
      <c r="O481" s="5">
        <f>DATE(2024,12,23)</f>
        <v>45649</v>
      </c>
      <c r="P481" s="5">
        <f t="shared" si="159"/>
        <v>46744</v>
      </c>
      <c r="Q481" s="1">
        <v>2562</v>
      </c>
      <c r="R481" s="1">
        <v>2400</v>
      </c>
      <c r="S481" s="1">
        <f t="shared" si="160"/>
        <v>2400</v>
      </c>
      <c r="T481" s="1">
        <v>2.5</v>
      </c>
      <c r="U481" s="1" t="str">
        <f t="shared" si="161"/>
        <v>SIM</v>
      </c>
      <c r="V481" s="1">
        <f t="shared" si="162"/>
        <v>1212</v>
      </c>
      <c r="W481" s="4">
        <f t="shared" si="163"/>
        <v>1.9801980198019802</v>
      </c>
      <c r="X481" s="4">
        <f t="shared" si="164"/>
        <v>722.77227722772273</v>
      </c>
      <c r="Y481" s="4">
        <f t="shared" si="165"/>
        <v>0.90346534653465338</v>
      </c>
      <c r="AB481" s="5">
        <f t="shared" si="166"/>
        <v>45292</v>
      </c>
      <c r="AC481" s="5">
        <f t="shared" si="167"/>
        <v>45657</v>
      </c>
      <c r="AD481" s="1">
        <v>22</v>
      </c>
      <c r="AE481" s="1">
        <f t="shared" si="168"/>
        <v>0</v>
      </c>
      <c r="AF481" s="1">
        <f t="shared" si="169"/>
        <v>0</v>
      </c>
      <c r="AG481" s="1">
        <f t="shared" si="170"/>
        <v>358</v>
      </c>
      <c r="AH481" s="1">
        <f t="shared" si="171"/>
        <v>0</v>
      </c>
      <c r="AI481" s="1">
        <f t="shared" si="172"/>
        <v>0</v>
      </c>
      <c r="AJ481" s="3">
        <f t="shared" si="173"/>
        <v>0.97814207650273222</v>
      </c>
      <c r="AK481" s="3">
        <f t="shared" si="174"/>
        <v>0.88371747010766644</v>
      </c>
      <c r="AL481" s="3">
        <f t="shared" si="175"/>
        <v>19.441784342368663</v>
      </c>
      <c r="AM481" s="3">
        <f t="shared" si="176"/>
        <v>48.604460855921658</v>
      </c>
      <c r="AN481" s="3">
        <f t="shared" si="177"/>
        <v>0</v>
      </c>
      <c r="AO481" s="3">
        <f t="shared" si="178"/>
        <v>48.604460855921658</v>
      </c>
      <c r="AP481" s="1" t="str">
        <f>INDEX({"EAD";"EAD";"EAD";"EAD MOOC";"EAD";"EAD";"EAD FP";"EAD";"PRESENCIAL";"PRESENCIAL";"PRESENCIAL";"PRESENCIAL"}, MATCH(CONCATENATE(E481, ".", F481),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82" spans="1:42" x14ac:dyDescent="0.25">
      <c r="A482" s="1" t="s">
        <v>27</v>
      </c>
      <c r="B482" s="1" t="s">
        <v>43</v>
      </c>
      <c r="C482" s="1" t="s">
        <v>29</v>
      </c>
      <c r="D482" s="1" t="s">
        <v>44</v>
      </c>
      <c r="E482" s="1" t="s">
        <v>120</v>
      </c>
      <c r="F482" s="1" t="s">
        <v>21</v>
      </c>
      <c r="G482" s="1" t="s">
        <v>140</v>
      </c>
      <c r="H482" s="1" t="s">
        <v>534</v>
      </c>
      <c r="I482" s="1" t="s">
        <v>289</v>
      </c>
      <c r="J482" s="1" t="s">
        <v>125</v>
      </c>
      <c r="K482" s="1" t="s">
        <v>109</v>
      </c>
      <c r="L482" s="1">
        <v>2798279</v>
      </c>
      <c r="M482" s="1" t="s">
        <v>692</v>
      </c>
      <c r="N482" s="5">
        <f t="shared" si="180"/>
        <v>44438</v>
      </c>
      <c r="O482" s="5">
        <f>DATE(2024,7,20)</f>
        <v>45493</v>
      </c>
      <c r="P482" s="5">
        <f t="shared" si="159"/>
        <v>46588</v>
      </c>
      <c r="Q482" s="1">
        <v>2548</v>
      </c>
      <c r="R482" s="1">
        <v>2400</v>
      </c>
      <c r="S482" s="1">
        <f t="shared" si="160"/>
        <v>2400</v>
      </c>
      <c r="T482" s="1">
        <v>2.5</v>
      </c>
      <c r="U482" s="1" t="str">
        <f t="shared" si="161"/>
        <v>SIM</v>
      </c>
      <c r="V482" s="1">
        <f t="shared" si="162"/>
        <v>1056</v>
      </c>
      <c r="W482" s="4">
        <f t="shared" si="163"/>
        <v>2.2727272727272729</v>
      </c>
      <c r="X482" s="4">
        <f t="shared" si="164"/>
        <v>829.54545454545462</v>
      </c>
      <c r="Y482" s="4">
        <f t="shared" si="165"/>
        <v>1.0369318181818183</v>
      </c>
      <c r="AB482" s="5">
        <f t="shared" si="166"/>
        <v>45292</v>
      </c>
      <c r="AC482" s="5">
        <f t="shared" si="167"/>
        <v>45657</v>
      </c>
      <c r="AD482" s="1">
        <v>26</v>
      </c>
      <c r="AE482" s="1">
        <f t="shared" si="168"/>
        <v>0</v>
      </c>
      <c r="AF482" s="1">
        <f t="shared" si="169"/>
        <v>0</v>
      </c>
      <c r="AG482" s="1">
        <f t="shared" si="170"/>
        <v>202</v>
      </c>
      <c r="AH482" s="1">
        <f t="shared" si="171"/>
        <v>0</v>
      </c>
      <c r="AI482" s="1">
        <f t="shared" si="172"/>
        <v>0</v>
      </c>
      <c r="AJ482" s="3">
        <f t="shared" si="173"/>
        <v>0.55191256830601088</v>
      </c>
      <c r="AK482" s="3">
        <f t="shared" si="174"/>
        <v>0.57229570293094889</v>
      </c>
      <c r="AL482" s="3">
        <f t="shared" si="175"/>
        <v>14.879688276204671</v>
      </c>
      <c r="AM482" s="3">
        <f t="shared" si="176"/>
        <v>37.19922069051168</v>
      </c>
      <c r="AN482" s="3">
        <f t="shared" si="177"/>
        <v>0</v>
      </c>
      <c r="AO482" s="3">
        <f t="shared" si="178"/>
        <v>37.19922069051168</v>
      </c>
      <c r="AP482" s="1" t="str">
        <f>INDEX({"EAD";"EAD";"EAD";"EAD MOOC";"EAD";"EAD";"EAD FP";"EAD";"PRESENCIAL";"PRESENCIAL";"PRESENCIAL";"PRESENCIAL"}, MATCH(CONCATENATE(E482, ".", F482),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83" spans="1:42" x14ac:dyDescent="0.25">
      <c r="A483" s="1" t="s">
        <v>27</v>
      </c>
      <c r="B483" s="1" t="s">
        <v>43</v>
      </c>
      <c r="C483" s="1" t="s">
        <v>29</v>
      </c>
      <c r="D483" s="1" t="s">
        <v>44</v>
      </c>
      <c r="E483" s="1" t="s">
        <v>120</v>
      </c>
      <c r="F483" s="1" t="s">
        <v>21</v>
      </c>
      <c r="G483" s="1" t="s">
        <v>140</v>
      </c>
      <c r="H483" s="1" t="s">
        <v>550</v>
      </c>
      <c r="I483" s="1" t="s">
        <v>209</v>
      </c>
      <c r="J483" s="1" t="s">
        <v>125</v>
      </c>
      <c r="K483" s="1" t="s">
        <v>109</v>
      </c>
      <c r="L483" s="1">
        <v>2798282</v>
      </c>
      <c r="M483" s="1" t="s">
        <v>693</v>
      </c>
      <c r="N483" s="5">
        <f t="shared" si="180"/>
        <v>44438</v>
      </c>
      <c r="O483" s="5">
        <f>DATE(2024,7,20)</f>
        <v>45493</v>
      </c>
      <c r="P483" s="5">
        <f t="shared" si="159"/>
        <v>46588</v>
      </c>
      <c r="Q483" s="1">
        <v>2130</v>
      </c>
      <c r="R483" s="1">
        <v>2000</v>
      </c>
      <c r="S483" s="1">
        <f t="shared" si="160"/>
        <v>2000</v>
      </c>
      <c r="T483" s="1">
        <v>1.5</v>
      </c>
      <c r="U483" s="1" t="str">
        <f t="shared" si="161"/>
        <v>SIM</v>
      </c>
      <c r="V483" s="1">
        <f t="shared" si="162"/>
        <v>1056</v>
      </c>
      <c r="W483" s="4">
        <f t="shared" si="163"/>
        <v>1.893939393939394</v>
      </c>
      <c r="X483" s="4">
        <f t="shared" si="164"/>
        <v>691.28787878787887</v>
      </c>
      <c r="Y483" s="4">
        <f t="shared" si="165"/>
        <v>0.86410984848484862</v>
      </c>
      <c r="AB483" s="5">
        <f t="shared" si="166"/>
        <v>45292</v>
      </c>
      <c r="AC483" s="5">
        <f t="shared" si="167"/>
        <v>45657</v>
      </c>
      <c r="AD483" s="1">
        <v>15</v>
      </c>
      <c r="AE483" s="1">
        <f t="shared" si="168"/>
        <v>0</v>
      </c>
      <c r="AF483" s="1">
        <f t="shared" si="169"/>
        <v>0</v>
      </c>
      <c r="AG483" s="1">
        <f t="shared" si="170"/>
        <v>202</v>
      </c>
      <c r="AH483" s="1">
        <f t="shared" si="171"/>
        <v>0</v>
      </c>
      <c r="AI483" s="1">
        <f t="shared" si="172"/>
        <v>0</v>
      </c>
      <c r="AJ483" s="3">
        <f t="shared" si="173"/>
        <v>0.55191256830601088</v>
      </c>
      <c r="AK483" s="3">
        <f t="shared" si="174"/>
        <v>0.47691308577579072</v>
      </c>
      <c r="AL483" s="3">
        <f t="shared" si="175"/>
        <v>7.153696286636861</v>
      </c>
      <c r="AM483" s="3">
        <f t="shared" si="176"/>
        <v>10.730544429955291</v>
      </c>
      <c r="AN483" s="3">
        <f t="shared" si="177"/>
        <v>0</v>
      </c>
      <c r="AO483" s="3">
        <f t="shared" si="178"/>
        <v>10.730544429955291</v>
      </c>
      <c r="AP483" s="1" t="str">
        <f>INDEX({"EAD";"EAD";"EAD";"EAD MOOC";"EAD";"EAD";"EAD FP";"EAD";"PRESENCIAL";"PRESENCIAL";"PRESENCIAL";"PRESENCIAL"}, MATCH(CONCATENATE(E483, ".", F483),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84" spans="1:42" x14ac:dyDescent="0.25">
      <c r="A484" s="1" t="s">
        <v>27</v>
      </c>
      <c r="B484" s="1" t="s">
        <v>43</v>
      </c>
      <c r="C484" s="1" t="s">
        <v>29</v>
      </c>
      <c r="D484" s="1" t="s">
        <v>44</v>
      </c>
      <c r="E484" s="1" t="s">
        <v>120</v>
      </c>
      <c r="F484" s="1" t="s">
        <v>21</v>
      </c>
      <c r="G484" s="1" t="s">
        <v>140</v>
      </c>
      <c r="H484" s="1" t="s">
        <v>500</v>
      </c>
      <c r="I484" s="1" t="s">
        <v>209</v>
      </c>
      <c r="J484" s="1" t="s">
        <v>125</v>
      </c>
      <c r="K484" s="1" t="s">
        <v>109</v>
      </c>
      <c r="L484" s="1">
        <v>2798283</v>
      </c>
      <c r="M484" s="1" t="s">
        <v>694</v>
      </c>
      <c r="N484" s="5">
        <f t="shared" si="180"/>
        <v>44438</v>
      </c>
      <c r="O484" s="5">
        <f>DATE(2024,7,20)</f>
        <v>45493</v>
      </c>
      <c r="P484" s="5">
        <f t="shared" si="159"/>
        <v>46588</v>
      </c>
      <c r="Q484" s="1">
        <v>2130</v>
      </c>
      <c r="R484" s="1">
        <v>2000</v>
      </c>
      <c r="S484" s="1">
        <f t="shared" si="160"/>
        <v>2000</v>
      </c>
      <c r="T484" s="1">
        <v>1</v>
      </c>
      <c r="U484" s="1" t="str">
        <f t="shared" si="161"/>
        <v>SIM</v>
      </c>
      <c r="V484" s="1">
        <f t="shared" si="162"/>
        <v>1056</v>
      </c>
      <c r="W484" s="4">
        <f t="shared" si="163"/>
        <v>1.893939393939394</v>
      </c>
      <c r="X484" s="4">
        <f t="shared" si="164"/>
        <v>691.28787878787887</v>
      </c>
      <c r="Y484" s="4">
        <f t="shared" si="165"/>
        <v>0.86410984848484862</v>
      </c>
      <c r="AB484" s="5">
        <f t="shared" si="166"/>
        <v>45292</v>
      </c>
      <c r="AC484" s="5">
        <f t="shared" si="167"/>
        <v>45657</v>
      </c>
      <c r="AD484" s="1">
        <v>27</v>
      </c>
      <c r="AE484" s="1">
        <f t="shared" si="168"/>
        <v>0</v>
      </c>
      <c r="AF484" s="1">
        <f t="shared" si="169"/>
        <v>0</v>
      </c>
      <c r="AG484" s="1">
        <f t="shared" si="170"/>
        <v>202</v>
      </c>
      <c r="AH484" s="1">
        <f t="shared" si="171"/>
        <v>0</v>
      </c>
      <c r="AI484" s="1">
        <f t="shared" si="172"/>
        <v>0</v>
      </c>
      <c r="AJ484" s="3">
        <f t="shared" si="173"/>
        <v>0.55191256830601088</v>
      </c>
      <c r="AK484" s="3">
        <f t="shared" si="174"/>
        <v>0.47691308577579072</v>
      </c>
      <c r="AL484" s="3">
        <f t="shared" si="175"/>
        <v>12.876653315946349</v>
      </c>
      <c r="AM484" s="3">
        <f t="shared" si="176"/>
        <v>12.876653315946349</v>
      </c>
      <c r="AN484" s="3">
        <f t="shared" si="177"/>
        <v>0</v>
      </c>
      <c r="AO484" s="3">
        <f t="shared" si="178"/>
        <v>12.876653315946349</v>
      </c>
      <c r="AP484" s="1" t="str">
        <f>INDEX({"EAD";"EAD";"EAD";"EAD MOOC";"EAD";"EAD";"EAD FP";"EAD";"PRESENCIAL";"PRESENCIAL";"PRESENCIAL";"PRESENCIAL"}, MATCH(CONCATENATE(E484, ".", F484),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85" spans="1:42" x14ac:dyDescent="0.25">
      <c r="A485" s="1" t="s">
        <v>27</v>
      </c>
      <c r="B485" s="1" t="s">
        <v>43</v>
      </c>
      <c r="C485" s="1" t="s">
        <v>29</v>
      </c>
      <c r="D485" s="1" t="s">
        <v>44</v>
      </c>
      <c r="E485" s="1" t="s">
        <v>120</v>
      </c>
      <c r="F485" s="1" t="s">
        <v>21</v>
      </c>
      <c r="G485" s="1" t="s">
        <v>121</v>
      </c>
      <c r="H485" s="1" t="s">
        <v>506</v>
      </c>
      <c r="I485" s="1" t="s">
        <v>209</v>
      </c>
      <c r="J485" s="1" t="s">
        <v>125</v>
      </c>
      <c r="K485" s="1" t="s">
        <v>109</v>
      </c>
      <c r="L485" s="1">
        <v>2798294</v>
      </c>
      <c r="M485" s="1" t="s">
        <v>695</v>
      </c>
      <c r="N485" s="5">
        <f t="shared" si="180"/>
        <v>44438</v>
      </c>
      <c r="O485" s="5">
        <f>DATE(2026,7,25)</f>
        <v>46228</v>
      </c>
      <c r="P485" s="5">
        <f t="shared" si="159"/>
        <v>47323</v>
      </c>
      <c r="Q485" s="1">
        <v>4460</v>
      </c>
      <c r="R485" s="1">
        <v>3200</v>
      </c>
      <c r="S485" s="1">
        <f t="shared" si="160"/>
        <v>3200</v>
      </c>
      <c r="T485" s="1">
        <v>2.5</v>
      </c>
      <c r="U485" s="1" t="str">
        <f t="shared" si="161"/>
        <v>SIM</v>
      </c>
      <c r="V485" s="1">
        <f t="shared" si="162"/>
        <v>1791</v>
      </c>
      <c r="W485" s="4">
        <f t="shared" si="163"/>
        <v>1.7867113344500278</v>
      </c>
      <c r="X485" s="4">
        <f t="shared" si="164"/>
        <v>652.14963707426011</v>
      </c>
      <c r="Y485" s="4">
        <f t="shared" si="165"/>
        <v>0.81518704634282513</v>
      </c>
      <c r="AB485" s="5">
        <f t="shared" si="166"/>
        <v>45292</v>
      </c>
      <c r="AC485" s="5">
        <f t="shared" si="167"/>
        <v>45657</v>
      </c>
      <c r="AD485" s="1">
        <v>36</v>
      </c>
      <c r="AE485" s="1">
        <f t="shared" si="168"/>
        <v>366</v>
      </c>
      <c r="AF485" s="1">
        <f t="shared" si="169"/>
        <v>0</v>
      </c>
      <c r="AG485" s="1">
        <f t="shared" si="170"/>
        <v>0</v>
      </c>
      <c r="AH485" s="1">
        <f t="shared" si="171"/>
        <v>0</v>
      </c>
      <c r="AI485" s="1">
        <f t="shared" si="172"/>
        <v>0</v>
      </c>
      <c r="AJ485" s="3">
        <f t="shared" si="173"/>
        <v>1</v>
      </c>
      <c r="AK485" s="3">
        <f t="shared" si="174"/>
        <v>0.81518704634282513</v>
      </c>
      <c r="AL485" s="3">
        <f t="shared" si="175"/>
        <v>29.346733668341706</v>
      </c>
      <c r="AM485" s="3">
        <f t="shared" si="176"/>
        <v>73.366834170854261</v>
      </c>
      <c r="AN485" s="3">
        <f t="shared" si="177"/>
        <v>0</v>
      </c>
      <c r="AO485" s="3">
        <f t="shared" si="178"/>
        <v>73.366834170854261</v>
      </c>
      <c r="AP485" s="1" t="str">
        <f>INDEX({"EAD";"EAD";"EAD";"EAD MOOC";"EAD";"EAD";"EAD FP";"EAD";"PRESENCIAL";"PRESENCIAL";"PRESENCIAL";"PRESENCIAL"}, MATCH(CONCATENATE(E485, ".", F485),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86" spans="1:42" x14ac:dyDescent="0.25">
      <c r="A486" s="1" t="s">
        <v>27</v>
      </c>
      <c r="B486" s="1" t="s">
        <v>43</v>
      </c>
      <c r="C486" s="1" t="s">
        <v>29</v>
      </c>
      <c r="D486" s="1" t="s">
        <v>44</v>
      </c>
      <c r="E486" s="1" t="s">
        <v>120</v>
      </c>
      <c r="F486" s="1" t="s">
        <v>21</v>
      </c>
      <c r="G486" s="1" t="s">
        <v>121</v>
      </c>
      <c r="H486" s="1" t="s">
        <v>508</v>
      </c>
      <c r="I486" s="1" t="s">
        <v>503</v>
      </c>
      <c r="J486" s="1" t="s">
        <v>125</v>
      </c>
      <c r="K486" s="1" t="s">
        <v>109</v>
      </c>
      <c r="L486" s="1">
        <v>2798296</v>
      </c>
      <c r="M486" s="1" t="s">
        <v>696</v>
      </c>
      <c r="N486" s="5">
        <f t="shared" si="180"/>
        <v>44438</v>
      </c>
      <c r="O486" s="5">
        <f>DATE(2026,7,25)</f>
        <v>46228</v>
      </c>
      <c r="P486" s="5">
        <f t="shared" si="159"/>
        <v>47323</v>
      </c>
      <c r="Q486" s="1">
        <v>4610</v>
      </c>
      <c r="R486" s="1">
        <v>3600</v>
      </c>
      <c r="S486" s="1">
        <f t="shared" si="160"/>
        <v>3600</v>
      </c>
      <c r="T486" s="1">
        <v>2.5</v>
      </c>
      <c r="U486" s="1" t="str">
        <f t="shared" si="161"/>
        <v>SIM</v>
      </c>
      <c r="V486" s="1">
        <f t="shared" si="162"/>
        <v>1791</v>
      </c>
      <c r="W486" s="4">
        <f t="shared" si="163"/>
        <v>2.0100502512562812</v>
      </c>
      <c r="X486" s="4">
        <f t="shared" si="164"/>
        <v>733.6683417085427</v>
      </c>
      <c r="Y486" s="4">
        <f t="shared" si="165"/>
        <v>0.91708542713567842</v>
      </c>
      <c r="AB486" s="5">
        <f t="shared" si="166"/>
        <v>45292</v>
      </c>
      <c r="AC486" s="5">
        <f t="shared" si="167"/>
        <v>45657</v>
      </c>
      <c r="AD486" s="1">
        <v>28</v>
      </c>
      <c r="AE486" s="1">
        <f t="shared" si="168"/>
        <v>366</v>
      </c>
      <c r="AF486" s="1">
        <f t="shared" si="169"/>
        <v>0</v>
      </c>
      <c r="AG486" s="1">
        <f t="shared" si="170"/>
        <v>0</v>
      </c>
      <c r="AH486" s="1">
        <f t="shared" si="171"/>
        <v>0</v>
      </c>
      <c r="AI486" s="1">
        <f t="shared" si="172"/>
        <v>0</v>
      </c>
      <c r="AJ486" s="3">
        <f t="shared" si="173"/>
        <v>1</v>
      </c>
      <c r="AK486" s="3">
        <f t="shared" si="174"/>
        <v>0.91708542713567842</v>
      </c>
      <c r="AL486" s="3">
        <f t="shared" si="175"/>
        <v>25.678391959798997</v>
      </c>
      <c r="AM486" s="3">
        <f t="shared" si="176"/>
        <v>64.195979899497488</v>
      </c>
      <c r="AN486" s="3">
        <f t="shared" si="177"/>
        <v>0</v>
      </c>
      <c r="AO486" s="3">
        <f t="shared" si="178"/>
        <v>64.195979899497488</v>
      </c>
      <c r="AP486" s="1" t="str">
        <f>INDEX({"EAD";"EAD";"EAD";"EAD MOOC";"EAD";"EAD";"EAD FP";"EAD";"PRESENCIAL";"PRESENCIAL";"PRESENCIAL";"PRESENCIAL"}, MATCH(CONCATENATE(E486, ".", F486),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87" spans="1:42" x14ac:dyDescent="0.25">
      <c r="A487" s="1" t="s">
        <v>27</v>
      </c>
      <c r="B487" s="1" t="s">
        <v>43</v>
      </c>
      <c r="C487" s="1" t="s">
        <v>29</v>
      </c>
      <c r="D487" s="1" t="s">
        <v>44</v>
      </c>
      <c r="E487" s="1" t="s">
        <v>120</v>
      </c>
      <c r="F487" s="1" t="s">
        <v>21</v>
      </c>
      <c r="G487" s="1" t="s">
        <v>121</v>
      </c>
      <c r="H487" s="1" t="s">
        <v>662</v>
      </c>
      <c r="I487" s="1" t="s">
        <v>503</v>
      </c>
      <c r="J487" s="1" t="s">
        <v>125</v>
      </c>
      <c r="K487" s="1" t="s">
        <v>109</v>
      </c>
      <c r="L487" s="1">
        <v>2798298</v>
      </c>
      <c r="M487" s="1" t="s">
        <v>697</v>
      </c>
      <c r="N487" s="5">
        <f t="shared" si="180"/>
        <v>44438</v>
      </c>
      <c r="O487" s="5">
        <f>DATE(2026,7,25)</f>
        <v>46228</v>
      </c>
      <c r="P487" s="5">
        <f t="shared" si="159"/>
        <v>47323</v>
      </c>
      <c r="Q487" s="1">
        <v>3662</v>
      </c>
      <c r="R487" s="1">
        <v>3600</v>
      </c>
      <c r="S487" s="1">
        <f t="shared" si="160"/>
        <v>3600</v>
      </c>
      <c r="T487" s="1">
        <v>2.5</v>
      </c>
      <c r="U487" s="1" t="str">
        <f t="shared" si="161"/>
        <v>SIM</v>
      </c>
      <c r="V487" s="1">
        <f t="shared" si="162"/>
        <v>1791</v>
      </c>
      <c r="W487" s="4">
        <f t="shared" si="163"/>
        <v>2.0100502512562812</v>
      </c>
      <c r="X487" s="4">
        <f t="shared" si="164"/>
        <v>733.6683417085427</v>
      </c>
      <c r="Y487" s="4">
        <f t="shared" si="165"/>
        <v>0.91708542713567842</v>
      </c>
      <c r="AB487" s="5">
        <f t="shared" si="166"/>
        <v>45292</v>
      </c>
      <c r="AC487" s="5">
        <f t="shared" si="167"/>
        <v>45657</v>
      </c>
      <c r="AD487" s="1">
        <v>36</v>
      </c>
      <c r="AE487" s="1">
        <f t="shared" si="168"/>
        <v>366</v>
      </c>
      <c r="AF487" s="1">
        <f t="shared" si="169"/>
        <v>0</v>
      </c>
      <c r="AG487" s="1">
        <f t="shared" si="170"/>
        <v>0</v>
      </c>
      <c r="AH487" s="1">
        <f t="shared" si="171"/>
        <v>0</v>
      </c>
      <c r="AI487" s="1">
        <f t="shared" si="172"/>
        <v>0</v>
      </c>
      <c r="AJ487" s="3">
        <f t="shared" si="173"/>
        <v>1</v>
      </c>
      <c r="AK487" s="3">
        <f t="shared" si="174"/>
        <v>0.91708542713567842</v>
      </c>
      <c r="AL487" s="3">
        <f t="shared" si="175"/>
        <v>33.015075376884425</v>
      </c>
      <c r="AM487" s="3">
        <f t="shared" si="176"/>
        <v>82.537688442211063</v>
      </c>
      <c r="AN487" s="3">
        <f t="shared" si="177"/>
        <v>0</v>
      </c>
      <c r="AO487" s="3">
        <f t="shared" si="178"/>
        <v>82.537688442211063</v>
      </c>
      <c r="AP487" s="1" t="str">
        <f>INDEX({"EAD";"EAD";"EAD";"EAD MOOC";"EAD";"EAD";"EAD FP";"EAD";"PRESENCIAL";"PRESENCIAL";"PRESENCIAL";"PRESENCIAL"}, MATCH(CONCATENATE(E487, ".", F487),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88" spans="1:42" x14ac:dyDescent="0.25">
      <c r="A488" s="1" t="s">
        <v>27</v>
      </c>
      <c r="B488" s="1" t="s">
        <v>43</v>
      </c>
      <c r="C488" s="1" t="s">
        <v>29</v>
      </c>
      <c r="D488" s="1" t="s">
        <v>44</v>
      </c>
      <c r="E488" s="1" t="s">
        <v>120</v>
      </c>
      <c r="F488" s="1" t="s">
        <v>21</v>
      </c>
      <c r="G488" s="1" t="s">
        <v>121</v>
      </c>
      <c r="H488" s="1" t="s">
        <v>495</v>
      </c>
      <c r="I488" s="1" t="s">
        <v>124</v>
      </c>
      <c r="J488" s="1" t="s">
        <v>125</v>
      </c>
      <c r="K488" s="1" t="s">
        <v>109</v>
      </c>
      <c r="L488" s="1">
        <v>2798302</v>
      </c>
      <c r="M488" s="1" t="s">
        <v>698</v>
      </c>
      <c r="N488" s="5">
        <f t="shared" si="180"/>
        <v>44438</v>
      </c>
      <c r="O488" s="5">
        <f>DATE(2024,7,20)</f>
        <v>45493</v>
      </c>
      <c r="P488" s="5">
        <f t="shared" si="159"/>
        <v>46588</v>
      </c>
      <c r="Q488" s="1">
        <v>2587</v>
      </c>
      <c r="R488" s="1">
        <v>2400</v>
      </c>
      <c r="S488" s="1">
        <f t="shared" si="160"/>
        <v>2400</v>
      </c>
      <c r="T488" s="1">
        <v>1</v>
      </c>
      <c r="U488" s="1" t="str">
        <f t="shared" si="161"/>
        <v>SIM</v>
      </c>
      <c r="V488" s="1">
        <f t="shared" si="162"/>
        <v>1056</v>
      </c>
      <c r="W488" s="4">
        <f t="shared" si="163"/>
        <v>2.2727272727272729</v>
      </c>
      <c r="X488" s="4">
        <f t="shared" si="164"/>
        <v>829.54545454545462</v>
      </c>
      <c r="Y488" s="4">
        <f t="shared" si="165"/>
        <v>1.0369318181818183</v>
      </c>
      <c r="AB488" s="5">
        <f t="shared" si="166"/>
        <v>45292</v>
      </c>
      <c r="AC488" s="5">
        <f t="shared" si="167"/>
        <v>45657</v>
      </c>
      <c r="AD488" s="1">
        <v>34</v>
      </c>
      <c r="AE488" s="1">
        <f t="shared" si="168"/>
        <v>0</v>
      </c>
      <c r="AF488" s="1">
        <f t="shared" si="169"/>
        <v>0</v>
      </c>
      <c r="AG488" s="1">
        <f t="shared" si="170"/>
        <v>202</v>
      </c>
      <c r="AH488" s="1">
        <f t="shared" si="171"/>
        <v>0</v>
      </c>
      <c r="AI488" s="1">
        <f t="shared" si="172"/>
        <v>0</v>
      </c>
      <c r="AJ488" s="3">
        <f t="shared" si="173"/>
        <v>0.55191256830601088</v>
      </c>
      <c r="AK488" s="3">
        <f t="shared" si="174"/>
        <v>0.57229570293094889</v>
      </c>
      <c r="AL488" s="3">
        <f t="shared" si="175"/>
        <v>19.458053899652263</v>
      </c>
      <c r="AM488" s="3">
        <f t="shared" si="176"/>
        <v>19.458053899652263</v>
      </c>
      <c r="AN488" s="3">
        <f t="shared" si="177"/>
        <v>0</v>
      </c>
      <c r="AO488" s="3">
        <f t="shared" si="178"/>
        <v>19.458053899652263</v>
      </c>
      <c r="AP488" s="1" t="str">
        <f>INDEX({"EAD";"EAD";"EAD";"EAD MOOC";"EAD";"EAD";"EAD FP";"EAD";"PRESENCIAL";"PRESENCIAL";"PRESENCIAL";"PRESENCIAL"}, MATCH(CONCATENATE(E488, ".", F488),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89" spans="1:42" x14ac:dyDescent="0.25">
      <c r="A489" s="1" t="s">
        <v>27</v>
      </c>
      <c r="B489" s="1" t="s">
        <v>43</v>
      </c>
      <c r="C489" s="1" t="s">
        <v>29</v>
      </c>
      <c r="D489" s="1" t="s">
        <v>44</v>
      </c>
      <c r="E489" s="1" t="s">
        <v>120</v>
      </c>
      <c r="F489" s="1" t="s">
        <v>21</v>
      </c>
      <c r="G489" s="1" t="s">
        <v>121</v>
      </c>
      <c r="H489" s="1" t="s">
        <v>537</v>
      </c>
      <c r="I489" s="1" t="s">
        <v>187</v>
      </c>
      <c r="J489" s="1" t="s">
        <v>125</v>
      </c>
      <c r="K489" s="1" t="s">
        <v>109</v>
      </c>
      <c r="L489" s="1">
        <v>2798304</v>
      </c>
      <c r="M489" s="1" t="s">
        <v>699</v>
      </c>
      <c r="N489" s="5">
        <f t="shared" si="180"/>
        <v>44438</v>
      </c>
      <c r="O489" s="5">
        <f>DATE(2024,7,20)</f>
        <v>45493</v>
      </c>
      <c r="P489" s="5">
        <f t="shared" si="159"/>
        <v>46588</v>
      </c>
      <c r="Q489" s="1">
        <v>2600</v>
      </c>
      <c r="R489" s="1">
        <v>2400</v>
      </c>
      <c r="S489" s="1">
        <f t="shared" si="160"/>
        <v>2400</v>
      </c>
      <c r="T489" s="1">
        <v>1</v>
      </c>
      <c r="U489" s="1" t="str">
        <f t="shared" si="161"/>
        <v>SIM</v>
      </c>
      <c r="V489" s="1">
        <f t="shared" si="162"/>
        <v>1056</v>
      </c>
      <c r="W489" s="4">
        <f t="shared" si="163"/>
        <v>2.2727272727272729</v>
      </c>
      <c r="X489" s="4">
        <f t="shared" si="164"/>
        <v>829.54545454545462</v>
      </c>
      <c r="Y489" s="4">
        <f t="shared" si="165"/>
        <v>1.0369318181818183</v>
      </c>
      <c r="AB489" s="5">
        <f t="shared" si="166"/>
        <v>45292</v>
      </c>
      <c r="AC489" s="5">
        <f t="shared" si="167"/>
        <v>45657</v>
      </c>
      <c r="AD489" s="1">
        <v>35</v>
      </c>
      <c r="AE489" s="1">
        <f t="shared" si="168"/>
        <v>0</v>
      </c>
      <c r="AF489" s="1">
        <f t="shared" si="169"/>
        <v>0</v>
      </c>
      <c r="AG489" s="1">
        <f t="shared" si="170"/>
        <v>202</v>
      </c>
      <c r="AH489" s="1">
        <f t="shared" si="171"/>
        <v>0</v>
      </c>
      <c r="AI489" s="1">
        <f t="shared" si="172"/>
        <v>0</v>
      </c>
      <c r="AJ489" s="3">
        <f t="shared" si="173"/>
        <v>0.55191256830601088</v>
      </c>
      <c r="AK489" s="3">
        <f t="shared" si="174"/>
        <v>0.57229570293094889</v>
      </c>
      <c r="AL489" s="3">
        <f t="shared" si="175"/>
        <v>20.030349602583211</v>
      </c>
      <c r="AM489" s="3">
        <f t="shared" si="176"/>
        <v>20.030349602583211</v>
      </c>
      <c r="AN489" s="3">
        <f t="shared" si="177"/>
        <v>0</v>
      </c>
      <c r="AO489" s="3">
        <f t="shared" si="178"/>
        <v>20.030349602583211</v>
      </c>
      <c r="AP489" s="1" t="str">
        <f>INDEX({"EAD";"EAD";"EAD";"EAD MOOC";"EAD";"EAD";"EAD FP";"EAD";"PRESENCIAL";"PRESENCIAL";"PRESENCIAL";"PRESENCIAL"}, MATCH(CONCATENATE(E489, ".", F489),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90" spans="1:42" x14ac:dyDescent="0.25">
      <c r="A490" s="1" t="s">
        <v>27</v>
      </c>
      <c r="B490" s="1" t="s">
        <v>43</v>
      </c>
      <c r="C490" s="1" t="s">
        <v>29</v>
      </c>
      <c r="D490" s="1" t="s">
        <v>44</v>
      </c>
      <c r="E490" s="1" t="s">
        <v>120</v>
      </c>
      <c r="F490" s="1" t="s">
        <v>21</v>
      </c>
      <c r="G490" s="1" t="s">
        <v>128</v>
      </c>
      <c r="H490" s="1" t="s">
        <v>582</v>
      </c>
      <c r="I490" s="1" t="s">
        <v>289</v>
      </c>
      <c r="J490" s="1" t="s">
        <v>125</v>
      </c>
      <c r="K490" s="1" t="s">
        <v>163</v>
      </c>
      <c r="L490" s="1">
        <v>2798308</v>
      </c>
      <c r="M490" s="1" t="s">
        <v>700</v>
      </c>
      <c r="N490" s="5">
        <f t="shared" si="180"/>
        <v>44438</v>
      </c>
      <c r="O490" s="5">
        <f>DATE(2023,7,15)</f>
        <v>45122</v>
      </c>
      <c r="P490" s="5">
        <f t="shared" si="159"/>
        <v>46217</v>
      </c>
      <c r="Q490" s="1">
        <v>1258</v>
      </c>
      <c r="R490" s="1">
        <v>1200</v>
      </c>
      <c r="S490" s="1">
        <f t="shared" si="160"/>
        <v>1200</v>
      </c>
      <c r="T490" s="1">
        <v>2.5</v>
      </c>
      <c r="U490" s="1" t="str">
        <f t="shared" si="161"/>
        <v>SIM</v>
      </c>
      <c r="V490" s="1">
        <f t="shared" si="162"/>
        <v>685</v>
      </c>
      <c r="W490" s="4">
        <f t="shared" si="163"/>
        <v>1.7518248175182483</v>
      </c>
      <c r="X490" s="4">
        <f t="shared" si="164"/>
        <v>639.41605839416059</v>
      </c>
      <c r="Y490" s="4">
        <f t="shared" si="165"/>
        <v>0.7992700729927007</v>
      </c>
      <c r="AB490" s="5">
        <f t="shared" si="166"/>
        <v>45292</v>
      </c>
      <c r="AC490" s="5">
        <f t="shared" si="167"/>
        <v>45657</v>
      </c>
      <c r="AD490" s="1">
        <v>9</v>
      </c>
      <c r="AE490" s="1">
        <f t="shared" si="168"/>
        <v>0</v>
      </c>
      <c r="AF490" s="1">
        <f t="shared" si="169"/>
        <v>0</v>
      </c>
      <c r="AG490" s="1">
        <f t="shared" si="170"/>
        <v>0</v>
      </c>
      <c r="AH490" s="1">
        <f t="shared" si="171"/>
        <v>0</v>
      </c>
      <c r="AI490" s="1">
        <f t="shared" si="172"/>
        <v>183</v>
      </c>
      <c r="AJ490" s="3">
        <f t="shared" si="173"/>
        <v>0.5</v>
      </c>
      <c r="AK490" s="3">
        <f t="shared" si="174"/>
        <v>0.39963503649635035</v>
      </c>
      <c r="AL490" s="3">
        <f t="shared" si="175"/>
        <v>1.7983576642335766</v>
      </c>
      <c r="AM490" s="3">
        <f t="shared" si="176"/>
        <v>4.4958941605839415</v>
      </c>
      <c r="AN490" s="3">
        <f t="shared" si="177"/>
        <v>0</v>
      </c>
      <c r="AO490" s="3">
        <f t="shared" si="178"/>
        <v>4.4958941605839415</v>
      </c>
      <c r="AP490" s="1" t="str">
        <f>INDEX({"EAD";"EAD";"EAD";"EAD MOOC";"EAD";"EAD";"EAD FP";"EAD";"PRESENCIAL";"PRESENCIAL";"PRESENCIAL";"PRESENCIAL"}, MATCH(CONCATENATE(E490, ".", F490),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91" spans="1:42" x14ac:dyDescent="0.25">
      <c r="A491" s="1" t="s">
        <v>27</v>
      </c>
      <c r="B491" s="1" t="s">
        <v>43</v>
      </c>
      <c r="C491" s="1" t="s">
        <v>29</v>
      </c>
      <c r="D491" s="1" t="s">
        <v>44</v>
      </c>
      <c r="E491" s="1" t="s">
        <v>120</v>
      </c>
      <c r="F491" s="1" t="s">
        <v>21</v>
      </c>
      <c r="G491" s="1" t="s">
        <v>128</v>
      </c>
      <c r="H491" s="1" t="s">
        <v>559</v>
      </c>
      <c r="I491" s="1" t="s">
        <v>289</v>
      </c>
      <c r="J491" s="1" t="s">
        <v>125</v>
      </c>
      <c r="K491" s="1" t="s">
        <v>163</v>
      </c>
      <c r="L491" s="1">
        <v>2798309</v>
      </c>
      <c r="M491" s="1" t="s">
        <v>701</v>
      </c>
      <c r="N491" s="5">
        <f t="shared" si="180"/>
        <v>44438</v>
      </c>
      <c r="O491" s="5">
        <f>DATE(2023,7,15)</f>
        <v>45122</v>
      </c>
      <c r="P491" s="5">
        <f t="shared" si="159"/>
        <v>46217</v>
      </c>
      <c r="Q491" s="1">
        <v>1360</v>
      </c>
      <c r="R491" s="1">
        <v>1200</v>
      </c>
      <c r="S491" s="1">
        <f t="shared" si="160"/>
        <v>1200</v>
      </c>
      <c r="T491" s="1">
        <v>2.5</v>
      </c>
      <c r="U491" s="1" t="str">
        <f t="shared" si="161"/>
        <v>SIM</v>
      </c>
      <c r="V491" s="1">
        <f t="shared" si="162"/>
        <v>685</v>
      </c>
      <c r="W491" s="4">
        <f t="shared" si="163"/>
        <v>1.7518248175182483</v>
      </c>
      <c r="X491" s="4">
        <f t="shared" si="164"/>
        <v>639.41605839416059</v>
      </c>
      <c r="Y491" s="4">
        <f t="shared" si="165"/>
        <v>0.7992700729927007</v>
      </c>
      <c r="AB491" s="5">
        <f t="shared" si="166"/>
        <v>45292</v>
      </c>
      <c r="AC491" s="5">
        <f t="shared" si="167"/>
        <v>45657</v>
      </c>
      <c r="AD491" s="1">
        <v>5</v>
      </c>
      <c r="AE491" s="1">
        <f t="shared" si="168"/>
        <v>0</v>
      </c>
      <c r="AF491" s="1">
        <f t="shared" si="169"/>
        <v>0</v>
      </c>
      <c r="AG491" s="1">
        <f t="shared" si="170"/>
        <v>0</v>
      </c>
      <c r="AH491" s="1">
        <f t="shared" si="171"/>
        <v>0</v>
      </c>
      <c r="AI491" s="1">
        <f t="shared" si="172"/>
        <v>183</v>
      </c>
      <c r="AJ491" s="3">
        <f t="shared" si="173"/>
        <v>0.5</v>
      </c>
      <c r="AK491" s="3">
        <f t="shared" si="174"/>
        <v>0.39963503649635035</v>
      </c>
      <c r="AL491" s="3">
        <f t="shared" si="175"/>
        <v>0.99908759124087587</v>
      </c>
      <c r="AM491" s="3">
        <f t="shared" si="176"/>
        <v>2.4977189781021898</v>
      </c>
      <c r="AN491" s="3">
        <f t="shared" si="177"/>
        <v>0</v>
      </c>
      <c r="AO491" s="3">
        <f t="shared" si="178"/>
        <v>2.4977189781021898</v>
      </c>
      <c r="AP491" s="1" t="str">
        <f>INDEX({"EAD";"EAD";"EAD";"EAD MOOC";"EAD";"EAD";"EAD FP";"EAD";"PRESENCIAL";"PRESENCIAL";"PRESENCIAL";"PRESENCIAL"}, MATCH(CONCATENATE(E491, ".", F491),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92" spans="1:42" x14ac:dyDescent="0.25">
      <c r="A492" s="1" t="s">
        <v>27</v>
      </c>
      <c r="B492" s="1" t="s">
        <v>43</v>
      </c>
      <c r="C492" s="1" t="s">
        <v>29</v>
      </c>
      <c r="D492" s="1" t="s">
        <v>44</v>
      </c>
      <c r="E492" s="1" t="s">
        <v>120</v>
      </c>
      <c r="F492" s="1" t="s">
        <v>21</v>
      </c>
      <c r="G492" s="1" t="s">
        <v>128</v>
      </c>
      <c r="H492" s="1" t="s">
        <v>586</v>
      </c>
      <c r="I492" s="1" t="s">
        <v>503</v>
      </c>
      <c r="J492" s="1" t="s">
        <v>125</v>
      </c>
      <c r="K492" s="1" t="s">
        <v>163</v>
      </c>
      <c r="L492" s="1">
        <v>2798311</v>
      </c>
      <c r="M492" s="1" t="s">
        <v>702</v>
      </c>
      <c r="N492" s="5">
        <f t="shared" si="180"/>
        <v>44438</v>
      </c>
      <c r="O492" s="5">
        <f>DATE(2023,7,15)</f>
        <v>45122</v>
      </c>
      <c r="P492" s="5">
        <f t="shared" si="159"/>
        <v>46217</v>
      </c>
      <c r="Q492" s="1">
        <v>1703</v>
      </c>
      <c r="R492" s="1">
        <v>1200</v>
      </c>
      <c r="S492" s="1">
        <f t="shared" si="160"/>
        <v>1200</v>
      </c>
      <c r="T492" s="1">
        <v>2.5</v>
      </c>
      <c r="U492" s="1" t="str">
        <f t="shared" si="161"/>
        <v>SIM</v>
      </c>
      <c r="V492" s="1">
        <f t="shared" si="162"/>
        <v>685</v>
      </c>
      <c r="W492" s="4">
        <f t="shared" si="163"/>
        <v>1.7518248175182483</v>
      </c>
      <c r="X492" s="4">
        <f t="shared" si="164"/>
        <v>639.41605839416059</v>
      </c>
      <c r="Y492" s="4">
        <f t="shared" si="165"/>
        <v>0.7992700729927007</v>
      </c>
      <c r="AB492" s="5">
        <f t="shared" si="166"/>
        <v>45292</v>
      </c>
      <c r="AC492" s="5">
        <f t="shared" si="167"/>
        <v>45657</v>
      </c>
      <c r="AD492" s="1">
        <v>7</v>
      </c>
      <c r="AE492" s="1">
        <f t="shared" si="168"/>
        <v>0</v>
      </c>
      <c r="AF492" s="1">
        <f t="shared" si="169"/>
        <v>0</v>
      </c>
      <c r="AG492" s="1">
        <f t="shared" si="170"/>
        <v>0</v>
      </c>
      <c r="AH492" s="1">
        <f t="shared" si="171"/>
        <v>0</v>
      </c>
      <c r="AI492" s="1">
        <f t="shared" si="172"/>
        <v>183</v>
      </c>
      <c r="AJ492" s="3">
        <f t="shared" si="173"/>
        <v>0.5</v>
      </c>
      <c r="AK492" s="3">
        <f t="shared" si="174"/>
        <v>0.39963503649635035</v>
      </c>
      <c r="AL492" s="3">
        <f t="shared" si="175"/>
        <v>1.3987226277372262</v>
      </c>
      <c r="AM492" s="3">
        <f t="shared" si="176"/>
        <v>3.4968065693430654</v>
      </c>
      <c r="AN492" s="3">
        <f t="shared" si="177"/>
        <v>0</v>
      </c>
      <c r="AO492" s="3">
        <f t="shared" si="178"/>
        <v>3.4968065693430654</v>
      </c>
      <c r="AP492" s="1" t="str">
        <f>INDEX({"EAD";"EAD";"EAD";"EAD MOOC";"EAD";"EAD";"EAD FP";"EAD";"PRESENCIAL";"PRESENCIAL";"PRESENCIAL";"PRESENCIAL"}, MATCH(CONCATENATE(E492, ".", F492),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93" spans="1:42" x14ac:dyDescent="0.25">
      <c r="A493" s="1" t="s">
        <v>27</v>
      </c>
      <c r="B493" s="1" t="s">
        <v>43</v>
      </c>
      <c r="C493" s="1" t="s">
        <v>29</v>
      </c>
      <c r="D493" s="1" t="s">
        <v>44</v>
      </c>
      <c r="E493" s="1" t="s">
        <v>120</v>
      </c>
      <c r="F493" s="1" t="s">
        <v>21</v>
      </c>
      <c r="G493" s="1" t="s">
        <v>128</v>
      </c>
      <c r="H493" s="1" t="s">
        <v>526</v>
      </c>
      <c r="I493" s="1" t="s">
        <v>503</v>
      </c>
      <c r="J493" s="1" t="s">
        <v>125</v>
      </c>
      <c r="K493" s="1" t="s">
        <v>163</v>
      </c>
      <c r="L493" s="1">
        <v>2798312</v>
      </c>
      <c r="M493" s="1" t="s">
        <v>703</v>
      </c>
      <c r="N493" s="5">
        <f t="shared" si="180"/>
        <v>44438</v>
      </c>
      <c r="O493" s="5">
        <f>DATE(2023,7,15)</f>
        <v>45122</v>
      </c>
      <c r="P493" s="5">
        <f t="shared" si="159"/>
        <v>46217</v>
      </c>
      <c r="Q493" s="1">
        <v>1707</v>
      </c>
      <c r="R493" s="1">
        <v>1200</v>
      </c>
      <c r="S493" s="1">
        <f t="shared" si="160"/>
        <v>1200</v>
      </c>
      <c r="T493" s="1">
        <v>2.5</v>
      </c>
      <c r="U493" s="1" t="str">
        <f t="shared" si="161"/>
        <v>SIM</v>
      </c>
      <c r="V493" s="1">
        <f t="shared" si="162"/>
        <v>685</v>
      </c>
      <c r="W493" s="4">
        <f t="shared" si="163"/>
        <v>1.7518248175182483</v>
      </c>
      <c r="X493" s="4">
        <f t="shared" si="164"/>
        <v>639.41605839416059</v>
      </c>
      <c r="Y493" s="4">
        <f t="shared" si="165"/>
        <v>0.7992700729927007</v>
      </c>
      <c r="AB493" s="5">
        <f t="shared" si="166"/>
        <v>45292</v>
      </c>
      <c r="AC493" s="5">
        <f t="shared" si="167"/>
        <v>45657</v>
      </c>
      <c r="AD493" s="1">
        <v>19</v>
      </c>
      <c r="AE493" s="1">
        <f t="shared" si="168"/>
        <v>0</v>
      </c>
      <c r="AF493" s="1">
        <f t="shared" si="169"/>
        <v>0</v>
      </c>
      <c r="AG493" s="1">
        <f t="shared" si="170"/>
        <v>0</v>
      </c>
      <c r="AH493" s="1">
        <f t="shared" si="171"/>
        <v>0</v>
      </c>
      <c r="AI493" s="1">
        <f t="shared" si="172"/>
        <v>183</v>
      </c>
      <c r="AJ493" s="3">
        <f t="shared" si="173"/>
        <v>0.5</v>
      </c>
      <c r="AK493" s="3">
        <f t="shared" si="174"/>
        <v>0.39963503649635035</v>
      </c>
      <c r="AL493" s="3">
        <f t="shared" si="175"/>
        <v>3.7965328467153281</v>
      </c>
      <c r="AM493" s="3">
        <f t="shared" si="176"/>
        <v>9.4913321167883211</v>
      </c>
      <c r="AN493" s="3">
        <f t="shared" si="177"/>
        <v>0</v>
      </c>
      <c r="AO493" s="3">
        <f t="shared" si="178"/>
        <v>9.4913321167883211</v>
      </c>
      <c r="AP493" s="1" t="str">
        <f>INDEX({"EAD";"EAD";"EAD";"EAD MOOC";"EAD";"EAD";"EAD FP";"EAD";"PRESENCIAL";"PRESENCIAL";"PRESENCIAL";"PRESENCIAL"}, MATCH(CONCATENATE(E493, ".", F493),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94" spans="1:42" x14ac:dyDescent="0.25">
      <c r="A494" s="1" t="s">
        <v>27</v>
      </c>
      <c r="B494" s="1" t="s">
        <v>43</v>
      </c>
      <c r="C494" s="1" t="s">
        <v>29</v>
      </c>
      <c r="D494" s="1" t="s">
        <v>44</v>
      </c>
      <c r="E494" s="1" t="s">
        <v>120</v>
      </c>
      <c r="F494" s="1" t="s">
        <v>21</v>
      </c>
      <c r="G494" s="1" t="s">
        <v>128</v>
      </c>
      <c r="H494" s="1" t="s">
        <v>582</v>
      </c>
      <c r="I494" s="1" t="s">
        <v>289</v>
      </c>
      <c r="J494" s="1" t="s">
        <v>125</v>
      </c>
      <c r="K494" s="1" t="s">
        <v>130</v>
      </c>
      <c r="L494" s="1">
        <v>2833543</v>
      </c>
      <c r="M494" s="1" t="s">
        <v>704</v>
      </c>
      <c r="N494" s="5">
        <f t="shared" ref="N494:N515" si="181">DATE(2022,1,31)</f>
        <v>44592</v>
      </c>
      <c r="O494" s="5">
        <f>DATE(2025,12,23)</f>
        <v>46014</v>
      </c>
      <c r="P494" s="5">
        <f t="shared" si="159"/>
        <v>47109</v>
      </c>
      <c r="Q494" s="1">
        <v>3672</v>
      </c>
      <c r="R494" s="1">
        <v>1200</v>
      </c>
      <c r="S494" s="1">
        <f t="shared" si="160"/>
        <v>3200</v>
      </c>
      <c r="T494" s="1">
        <v>2.5</v>
      </c>
      <c r="U494" s="1" t="str">
        <f t="shared" si="161"/>
        <v>SIM</v>
      </c>
      <c r="V494" s="1">
        <f t="shared" si="162"/>
        <v>1423</v>
      </c>
      <c r="W494" s="4">
        <f t="shared" si="163"/>
        <v>2.2487702037947996</v>
      </c>
      <c r="X494" s="4">
        <f t="shared" si="164"/>
        <v>820.80112438510184</v>
      </c>
      <c r="Y494" s="4">
        <f t="shared" si="165"/>
        <v>1.0260014054813773</v>
      </c>
      <c r="AB494" s="5">
        <f t="shared" si="166"/>
        <v>45292</v>
      </c>
      <c r="AC494" s="5">
        <f t="shared" si="167"/>
        <v>45657</v>
      </c>
      <c r="AD494" s="1">
        <v>37</v>
      </c>
      <c r="AE494" s="1">
        <f t="shared" si="168"/>
        <v>366</v>
      </c>
      <c r="AF494" s="1">
        <f t="shared" si="169"/>
        <v>0</v>
      </c>
      <c r="AG494" s="1">
        <f t="shared" si="170"/>
        <v>0</v>
      </c>
      <c r="AH494" s="1">
        <f t="shared" si="171"/>
        <v>0</v>
      </c>
      <c r="AI494" s="1">
        <f t="shared" si="172"/>
        <v>0</v>
      </c>
      <c r="AJ494" s="3">
        <f t="shared" si="173"/>
        <v>1</v>
      </c>
      <c r="AK494" s="3">
        <f t="shared" si="174"/>
        <v>1.0260014054813773</v>
      </c>
      <c r="AL494" s="3">
        <f t="shared" si="175"/>
        <v>37.962052002810964</v>
      </c>
      <c r="AM494" s="3">
        <f t="shared" si="176"/>
        <v>94.90513000702741</v>
      </c>
      <c r="AN494" s="3">
        <f t="shared" si="177"/>
        <v>0</v>
      </c>
      <c r="AO494" s="3">
        <f t="shared" si="178"/>
        <v>94.90513000702741</v>
      </c>
      <c r="AP494" s="1" t="str">
        <f>INDEX({"EAD";"EAD";"EAD";"EAD MOOC";"EAD";"EAD";"EAD FP";"EAD";"PRESENCIAL";"PRESENCIAL";"PRESENCIAL";"PRESENCIAL"}, MATCH(CONCATENATE(E494, ".", F494),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95" spans="1:42" x14ac:dyDescent="0.25">
      <c r="A495" s="1" t="s">
        <v>27</v>
      </c>
      <c r="B495" s="1" t="s">
        <v>43</v>
      </c>
      <c r="C495" s="1" t="s">
        <v>29</v>
      </c>
      <c r="D495" s="1" t="s">
        <v>44</v>
      </c>
      <c r="E495" s="1" t="s">
        <v>120</v>
      </c>
      <c r="F495" s="1" t="s">
        <v>21</v>
      </c>
      <c r="G495" s="1" t="s">
        <v>128</v>
      </c>
      <c r="H495" s="1" t="s">
        <v>559</v>
      </c>
      <c r="I495" s="1" t="s">
        <v>289</v>
      </c>
      <c r="J495" s="1" t="s">
        <v>125</v>
      </c>
      <c r="K495" s="1" t="s">
        <v>130</v>
      </c>
      <c r="L495" s="1">
        <v>2833546</v>
      </c>
      <c r="M495" s="1" t="s">
        <v>705</v>
      </c>
      <c r="N495" s="5">
        <f t="shared" si="181"/>
        <v>44592</v>
      </c>
      <c r="O495" s="5">
        <f>DATE(2025,12,23)</f>
        <v>46014</v>
      </c>
      <c r="P495" s="5">
        <f t="shared" si="159"/>
        <v>47109</v>
      </c>
      <c r="Q495" s="1">
        <v>3672</v>
      </c>
      <c r="R495" s="1">
        <v>1200</v>
      </c>
      <c r="S495" s="1">
        <f t="shared" si="160"/>
        <v>3200</v>
      </c>
      <c r="T495" s="1">
        <v>2.5</v>
      </c>
      <c r="U495" s="1" t="str">
        <f t="shared" si="161"/>
        <v>SIM</v>
      </c>
      <c r="V495" s="1">
        <f t="shared" si="162"/>
        <v>1423</v>
      </c>
      <c r="W495" s="4">
        <f t="shared" si="163"/>
        <v>2.2487702037947996</v>
      </c>
      <c r="X495" s="4">
        <f t="shared" si="164"/>
        <v>820.80112438510184</v>
      </c>
      <c r="Y495" s="4">
        <f t="shared" si="165"/>
        <v>1.0260014054813773</v>
      </c>
      <c r="AB495" s="5">
        <f t="shared" si="166"/>
        <v>45292</v>
      </c>
      <c r="AC495" s="5">
        <f t="shared" si="167"/>
        <v>45657</v>
      </c>
      <c r="AD495" s="1">
        <v>50</v>
      </c>
      <c r="AE495" s="1">
        <f t="shared" si="168"/>
        <v>366</v>
      </c>
      <c r="AF495" s="1">
        <f t="shared" si="169"/>
        <v>0</v>
      </c>
      <c r="AG495" s="1">
        <f t="shared" si="170"/>
        <v>0</v>
      </c>
      <c r="AH495" s="1">
        <f t="shared" si="171"/>
        <v>0</v>
      </c>
      <c r="AI495" s="1">
        <f t="shared" si="172"/>
        <v>0</v>
      </c>
      <c r="AJ495" s="3">
        <f t="shared" si="173"/>
        <v>1</v>
      </c>
      <c r="AK495" s="3">
        <f t="shared" si="174"/>
        <v>1.0260014054813773</v>
      </c>
      <c r="AL495" s="3">
        <f t="shared" si="175"/>
        <v>51.300070274068865</v>
      </c>
      <c r="AM495" s="3">
        <f t="shared" si="176"/>
        <v>128.25017568517217</v>
      </c>
      <c r="AN495" s="3">
        <f t="shared" si="177"/>
        <v>0</v>
      </c>
      <c r="AO495" s="3">
        <f t="shared" si="178"/>
        <v>128.25017568517217</v>
      </c>
      <c r="AP495" s="1" t="str">
        <f>INDEX({"EAD";"EAD";"EAD";"EAD MOOC";"EAD";"EAD";"EAD FP";"EAD";"PRESENCIAL";"PRESENCIAL";"PRESENCIAL";"PRESENCIAL"}, MATCH(CONCATENATE(E495, ".", F495),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96" spans="1:42" x14ac:dyDescent="0.25">
      <c r="A496" s="1" t="s">
        <v>27</v>
      </c>
      <c r="B496" s="1" t="s">
        <v>43</v>
      </c>
      <c r="C496" s="1" t="s">
        <v>29</v>
      </c>
      <c r="D496" s="1" t="s">
        <v>44</v>
      </c>
      <c r="E496" s="1" t="s">
        <v>120</v>
      </c>
      <c r="F496" s="1" t="s">
        <v>21</v>
      </c>
      <c r="G496" s="1" t="s">
        <v>128</v>
      </c>
      <c r="H496" s="1" t="s">
        <v>586</v>
      </c>
      <c r="I496" s="1" t="s">
        <v>503</v>
      </c>
      <c r="J496" s="1" t="s">
        <v>125</v>
      </c>
      <c r="K496" s="1" t="s">
        <v>130</v>
      </c>
      <c r="L496" s="1">
        <v>2833556</v>
      </c>
      <c r="M496" s="1" t="s">
        <v>706</v>
      </c>
      <c r="N496" s="5">
        <f t="shared" si="181"/>
        <v>44592</v>
      </c>
      <c r="O496" s="5">
        <f>DATE(2024,12,23)</f>
        <v>45649</v>
      </c>
      <c r="P496" s="5">
        <f t="shared" si="159"/>
        <v>46744</v>
      </c>
      <c r="Q496" s="1">
        <v>3332</v>
      </c>
      <c r="R496" s="1">
        <v>1200</v>
      </c>
      <c r="S496" s="1">
        <f t="shared" si="160"/>
        <v>3200</v>
      </c>
      <c r="T496" s="1">
        <v>2.5</v>
      </c>
      <c r="U496" s="1" t="str">
        <f t="shared" si="161"/>
        <v>SIM</v>
      </c>
      <c r="V496" s="1">
        <f t="shared" si="162"/>
        <v>1058</v>
      </c>
      <c r="W496" s="4">
        <f t="shared" si="163"/>
        <v>3.0245746691871456</v>
      </c>
      <c r="X496" s="4">
        <f t="shared" si="164"/>
        <v>1103.9697542533081</v>
      </c>
      <c r="Y496" s="4">
        <f t="shared" si="165"/>
        <v>1.3799621928166352</v>
      </c>
      <c r="AB496" s="5">
        <f t="shared" si="166"/>
        <v>45292</v>
      </c>
      <c r="AC496" s="5">
        <f t="shared" si="167"/>
        <v>45657</v>
      </c>
      <c r="AD496" s="1">
        <v>55</v>
      </c>
      <c r="AE496" s="1">
        <f t="shared" si="168"/>
        <v>0</v>
      </c>
      <c r="AF496" s="1">
        <f t="shared" si="169"/>
        <v>0</v>
      </c>
      <c r="AG496" s="1">
        <f t="shared" si="170"/>
        <v>358</v>
      </c>
      <c r="AH496" s="1">
        <f t="shared" si="171"/>
        <v>0</v>
      </c>
      <c r="AI496" s="1">
        <f t="shared" si="172"/>
        <v>0</v>
      </c>
      <c r="AJ496" s="3">
        <f t="shared" si="173"/>
        <v>0.97814207650273222</v>
      </c>
      <c r="AK496" s="3">
        <f t="shared" si="174"/>
        <v>1.3497990847769272</v>
      </c>
      <c r="AL496" s="3">
        <f t="shared" si="175"/>
        <v>74.238949662731002</v>
      </c>
      <c r="AM496" s="3">
        <f t="shared" si="176"/>
        <v>185.5973741568275</v>
      </c>
      <c r="AN496" s="3">
        <f t="shared" si="177"/>
        <v>0</v>
      </c>
      <c r="AO496" s="3">
        <f t="shared" si="178"/>
        <v>185.5973741568275</v>
      </c>
      <c r="AP496" s="1" t="str">
        <f>INDEX({"EAD";"EAD";"EAD";"EAD MOOC";"EAD";"EAD";"EAD FP";"EAD";"PRESENCIAL";"PRESENCIAL";"PRESENCIAL";"PRESENCIAL"}, MATCH(CONCATENATE(E496, ".", F496),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97" spans="1:42" x14ac:dyDescent="0.25">
      <c r="A497" s="1" t="s">
        <v>27</v>
      </c>
      <c r="B497" s="1" t="s">
        <v>43</v>
      </c>
      <c r="C497" s="1" t="s">
        <v>29</v>
      </c>
      <c r="D497" s="1" t="s">
        <v>44</v>
      </c>
      <c r="E497" s="1" t="s">
        <v>120</v>
      </c>
      <c r="F497" s="1" t="s">
        <v>21</v>
      </c>
      <c r="G497" s="1" t="s">
        <v>128</v>
      </c>
      <c r="H497" s="1" t="s">
        <v>526</v>
      </c>
      <c r="I497" s="1" t="s">
        <v>503</v>
      </c>
      <c r="J497" s="1" t="s">
        <v>125</v>
      </c>
      <c r="K497" s="1" t="s">
        <v>130</v>
      </c>
      <c r="L497" s="1">
        <v>2833559</v>
      </c>
      <c r="M497" s="1" t="s">
        <v>707</v>
      </c>
      <c r="N497" s="5">
        <f t="shared" si="181"/>
        <v>44592</v>
      </c>
      <c r="O497" s="5">
        <f>DATE(2024,12,23)</f>
        <v>45649</v>
      </c>
      <c r="P497" s="5">
        <f t="shared" si="159"/>
        <v>46744</v>
      </c>
      <c r="Q497" s="1">
        <v>3332</v>
      </c>
      <c r="R497" s="1">
        <v>1200</v>
      </c>
      <c r="S497" s="1">
        <f t="shared" si="160"/>
        <v>3200</v>
      </c>
      <c r="T497" s="1">
        <v>2.5</v>
      </c>
      <c r="U497" s="1" t="str">
        <f t="shared" si="161"/>
        <v>SIM</v>
      </c>
      <c r="V497" s="1">
        <f t="shared" si="162"/>
        <v>1058</v>
      </c>
      <c r="W497" s="4">
        <f t="shared" si="163"/>
        <v>3.0245746691871456</v>
      </c>
      <c r="X497" s="4">
        <f t="shared" si="164"/>
        <v>1103.9697542533081</v>
      </c>
      <c r="Y497" s="4">
        <f t="shared" si="165"/>
        <v>1.3799621928166352</v>
      </c>
      <c r="AB497" s="5">
        <f t="shared" si="166"/>
        <v>45292</v>
      </c>
      <c r="AC497" s="5">
        <f t="shared" si="167"/>
        <v>45657</v>
      </c>
      <c r="AD497" s="1">
        <v>56</v>
      </c>
      <c r="AE497" s="1">
        <f t="shared" si="168"/>
        <v>0</v>
      </c>
      <c r="AF497" s="1">
        <f t="shared" si="169"/>
        <v>0</v>
      </c>
      <c r="AG497" s="1">
        <f t="shared" si="170"/>
        <v>358</v>
      </c>
      <c r="AH497" s="1">
        <f t="shared" si="171"/>
        <v>0</v>
      </c>
      <c r="AI497" s="1">
        <f t="shared" si="172"/>
        <v>0</v>
      </c>
      <c r="AJ497" s="3">
        <f t="shared" si="173"/>
        <v>0.97814207650273222</v>
      </c>
      <c r="AK497" s="3">
        <f t="shared" si="174"/>
        <v>1.3497990847769272</v>
      </c>
      <c r="AL497" s="3">
        <f t="shared" si="175"/>
        <v>75.588748747507921</v>
      </c>
      <c r="AM497" s="3">
        <f t="shared" si="176"/>
        <v>188.9718718687698</v>
      </c>
      <c r="AN497" s="3">
        <f t="shared" si="177"/>
        <v>0</v>
      </c>
      <c r="AO497" s="3">
        <f t="shared" si="178"/>
        <v>188.9718718687698</v>
      </c>
      <c r="AP497" s="1" t="str">
        <f>INDEX({"EAD";"EAD";"EAD";"EAD MOOC";"EAD";"EAD";"EAD FP";"EAD";"PRESENCIAL";"PRESENCIAL";"PRESENCIAL";"PRESENCIAL"}, MATCH(CONCATENATE(E497, ".", F497),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98" spans="1:42" x14ac:dyDescent="0.25">
      <c r="A498" s="1" t="s">
        <v>27</v>
      </c>
      <c r="B498" s="1" t="s">
        <v>43</v>
      </c>
      <c r="C498" s="1" t="s">
        <v>29</v>
      </c>
      <c r="D498" s="1" t="s">
        <v>44</v>
      </c>
      <c r="E498" s="1" t="s">
        <v>120</v>
      </c>
      <c r="F498" s="1" t="s">
        <v>21</v>
      </c>
      <c r="G498" s="1" t="s">
        <v>128</v>
      </c>
      <c r="H498" s="1" t="s">
        <v>612</v>
      </c>
      <c r="I498" s="1" t="s">
        <v>187</v>
      </c>
      <c r="J498" s="1" t="s">
        <v>125</v>
      </c>
      <c r="K498" s="1" t="s">
        <v>130</v>
      </c>
      <c r="L498" s="1">
        <v>2833560</v>
      </c>
      <c r="M498" s="1" t="s">
        <v>708</v>
      </c>
      <c r="N498" s="5">
        <f t="shared" si="181"/>
        <v>44592</v>
      </c>
      <c r="O498" s="5">
        <f>DATE(2024,12,23)</f>
        <v>45649</v>
      </c>
      <c r="P498" s="5">
        <f t="shared" si="159"/>
        <v>46744</v>
      </c>
      <c r="Q498" s="1">
        <v>3060</v>
      </c>
      <c r="R498" s="1">
        <v>800</v>
      </c>
      <c r="S498" s="1">
        <f t="shared" si="160"/>
        <v>3000</v>
      </c>
      <c r="T498" s="1">
        <v>1.5</v>
      </c>
      <c r="U498" s="1" t="str">
        <f t="shared" si="161"/>
        <v>SIM</v>
      </c>
      <c r="V498" s="1">
        <f t="shared" si="162"/>
        <v>1058</v>
      </c>
      <c r="W498" s="4">
        <f t="shared" si="163"/>
        <v>2.8355387523629489</v>
      </c>
      <c r="X498" s="4">
        <f t="shared" si="164"/>
        <v>1034.9716446124764</v>
      </c>
      <c r="Y498" s="4">
        <f t="shared" si="165"/>
        <v>1.2937145557655956</v>
      </c>
      <c r="AB498" s="5">
        <f t="shared" si="166"/>
        <v>45292</v>
      </c>
      <c r="AC498" s="5">
        <f t="shared" si="167"/>
        <v>45657</v>
      </c>
      <c r="AD498" s="1">
        <v>73</v>
      </c>
      <c r="AE498" s="1">
        <f t="shared" si="168"/>
        <v>0</v>
      </c>
      <c r="AF498" s="1">
        <f t="shared" si="169"/>
        <v>0</v>
      </c>
      <c r="AG498" s="1">
        <f t="shared" si="170"/>
        <v>358</v>
      </c>
      <c r="AH498" s="1">
        <f t="shared" si="171"/>
        <v>0</v>
      </c>
      <c r="AI498" s="1">
        <f t="shared" si="172"/>
        <v>0</v>
      </c>
      <c r="AJ498" s="3">
        <f t="shared" si="173"/>
        <v>0.97814207650273222</v>
      </c>
      <c r="AK498" s="3">
        <f t="shared" si="174"/>
        <v>1.2654366419783694</v>
      </c>
      <c r="AL498" s="3">
        <f t="shared" si="175"/>
        <v>92.376874864420969</v>
      </c>
      <c r="AM498" s="3">
        <f t="shared" si="176"/>
        <v>138.56531229663145</v>
      </c>
      <c r="AN498" s="3">
        <f t="shared" si="177"/>
        <v>0</v>
      </c>
      <c r="AO498" s="3">
        <f t="shared" si="178"/>
        <v>138.56531229663145</v>
      </c>
      <c r="AP498" s="1" t="str">
        <f>INDEX({"EAD";"EAD";"EAD";"EAD MOOC";"EAD";"EAD";"EAD FP";"EAD";"PRESENCIAL";"PRESENCIAL";"PRESENCIAL";"PRESENCIAL"}, MATCH(CONCATENATE(E498, ".", F498),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499" spans="1:42" x14ac:dyDescent="0.25">
      <c r="A499" s="1" t="s">
        <v>27</v>
      </c>
      <c r="B499" s="1" t="s">
        <v>43</v>
      </c>
      <c r="C499" s="1" t="s">
        <v>29</v>
      </c>
      <c r="D499" s="1" t="s">
        <v>44</v>
      </c>
      <c r="E499" s="1" t="s">
        <v>120</v>
      </c>
      <c r="F499" s="1" t="s">
        <v>21</v>
      </c>
      <c r="G499" s="1" t="s">
        <v>128</v>
      </c>
      <c r="H499" s="1" t="s">
        <v>208</v>
      </c>
      <c r="I499" s="1" t="s">
        <v>209</v>
      </c>
      <c r="J499" s="1" t="s">
        <v>125</v>
      </c>
      <c r="K499" s="1" t="s">
        <v>130</v>
      </c>
      <c r="L499" s="1">
        <v>2833561</v>
      </c>
      <c r="M499" s="1" t="s">
        <v>709</v>
      </c>
      <c r="N499" s="5">
        <f t="shared" si="181"/>
        <v>44592</v>
      </c>
      <c r="O499" s="5">
        <f>DATE(2024,12,23)</f>
        <v>45649</v>
      </c>
      <c r="P499" s="5">
        <f t="shared" si="159"/>
        <v>46744</v>
      </c>
      <c r="Q499" s="1">
        <v>3740</v>
      </c>
      <c r="R499" s="1">
        <v>1200</v>
      </c>
      <c r="S499" s="1">
        <f t="shared" si="160"/>
        <v>3200</v>
      </c>
      <c r="T499" s="1">
        <v>1.5</v>
      </c>
      <c r="U499" s="1" t="str">
        <f t="shared" si="161"/>
        <v>SIM</v>
      </c>
      <c r="V499" s="1">
        <f t="shared" si="162"/>
        <v>1058</v>
      </c>
      <c r="W499" s="4">
        <f t="shared" si="163"/>
        <v>3.0245746691871456</v>
      </c>
      <c r="X499" s="4">
        <f t="shared" si="164"/>
        <v>1103.9697542533081</v>
      </c>
      <c r="Y499" s="4">
        <f t="shared" si="165"/>
        <v>1.3799621928166352</v>
      </c>
      <c r="AB499" s="5">
        <f t="shared" si="166"/>
        <v>45292</v>
      </c>
      <c r="AC499" s="5">
        <f t="shared" si="167"/>
        <v>45657</v>
      </c>
      <c r="AD499" s="1">
        <v>61</v>
      </c>
      <c r="AE499" s="1">
        <f t="shared" si="168"/>
        <v>0</v>
      </c>
      <c r="AF499" s="1">
        <f t="shared" si="169"/>
        <v>0</v>
      </c>
      <c r="AG499" s="1">
        <f t="shared" si="170"/>
        <v>358</v>
      </c>
      <c r="AH499" s="1">
        <f t="shared" si="171"/>
        <v>0</v>
      </c>
      <c r="AI499" s="1">
        <f t="shared" si="172"/>
        <v>0</v>
      </c>
      <c r="AJ499" s="3">
        <f t="shared" si="173"/>
        <v>0.97814207650273222</v>
      </c>
      <c r="AK499" s="3">
        <f t="shared" si="174"/>
        <v>1.3497990847769272</v>
      </c>
      <c r="AL499" s="3">
        <f t="shared" si="175"/>
        <v>82.337744171392558</v>
      </c>
      <c r="AM499" s="3">
        <f t="shared" si="176"/>
        <v>123.50661625708884</v>
      </c>
      <c r="AN499" s="3">
        <f t="shared" si="177"/>
        <v>0</v>
      </c>
      <c r="AO499" s="3">
        <f t="shared" si="178"/>
        <v>123.50661625708884</v>
      </c>
      <c r="AP499" s="1" t="str">
        <f>INDEX({"EAD";"EAD";"EAD";"EAD MOOC";"EAD";"EAD";"EAD FP";"EAD";"PRESENCIAL";"PRESENCIAL";"PRESENCIAL";"PRESENCIAL"}, MATCH(CONCATENATE(E499, ".", F499),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00" spans="1:42" x14ac:dyDescent="0.25">
      <c r="A500" s="1" t="s">
        <v>27</v>
      </c>
      <c r="B500" s="1" t="s">
        <v>43</v>
      </c>
      <c r="C500" s="1" t="s">
        <v>29</v>
      </c>
      <c r="D500" s="1" t="s">
        <v>44</v>
      </c>
      <c r="E500" s="1" t="s">
        <v>120</v>
      </c>
      <c r="F500" s="1" t="s">
        <v>21</v>
      </c>
      <c r="G500" s="1" t="s">
        <v>128</v>
      </c>
      <c r="H500" s="1" t="s">
        <v>218</v>
      </c>
      <c r="I500" s="1" t="s">
        <v>124</v>
      </c>
      <c r="J500" s="1" t="s">
        <v>125</v>
      </c>
      <c r="K500" s="1" t="s">
        <v>130</v>
      </c>
      <c r="L500" s="1">
        <v>2833562</v>
      </c>
      <c r="M500" s="1" t="s">
        <v>710</v>
      </c>
      <c r="N500" s="5">
        <f t="shared" si="181"/>
        <v>44592</v>
      </c>
      <c r="O500" s="5">
        <f>DATE(2024,12,23)</f>
        <v>45649</v>
      </c>
      <c r="P500" s="5">
        <f t="shared" si="159"/>
        <v>46744</v>
      </c>
      <c r="Q500" s="1">
        <v>3573</v>
      </c>
      <c r="R500" s="1">
        <v>800</v>
      </c>
      <c r="S500" s="1">
        <f t="shared" si="160"/>
        <v>3000</v>
      </c>
      <c r="T500" s="1">
        <v>1.5</v>
      </c>
      <c r="U500" s="1" t="str">
        <f t="shared" si="161"/>
        <v>SIM</v>
      </c>
      <c r="V500" s="1">
        <f t="shared" si="162"/>
        <v>1058</v>
      </c>
      <c r="W500" s="4">
        <f t="shared" si="163"/>
        <v>2.8355387523629489</v>
      </c>
      <c r="X500" s="4">
        <f t="shared" si="164"/>
        <v>1034.9716446124764</v>
      </c>
      <c r="Y500" s="4">
        <f t="shared" si="165"/>
        <v>1.2937145557655956</v>
      </c>
      <c r="AB500" s="5">
        <f t="shared" si="166"/>
        <v>45292</v>
      </c>
      <c r="AC500" s="5">
        <f t="shared" si="167"/>
        <v>45657</v>
      </c>
      <c r="AD500" s="1">
        <v>69</v>
      </c>
      <c r="AE500" s="1">
        <f t="shared" si="168"/>
        <v>0</v>
      </c>
      <c r="AF500" s="1">
        <f t="shared" si="169"/>
        <v>0</v>
      </c>
      <c r="AG500" s="1">
        <f t="shared" si="170"/>
        <v>358</v>
      </c>
      <c r="AH500" s="1">
        <f t="shared" si="171"/>
        <v>0</v>
      </c>
      <c r="AI500" s="1">
        <f t="shared" si="172"/>
        <v>0</v>
      </c>
      <c r="AJ500" s="3">
        <f t="shared" si="173"/>
        <v>0.97814207650273222</v>
      </c>
      <c r="AK500" s="3">
        <f t="shared" si="174"/>
        <v>1.2654366419783694</v>
      </c>
      <c r="AL500" s="3">
        <f t="shared" si="175"/>
        <v>87.315128296507481</v>
      </c>
      <c r="AM500" s="3">
        <f t="shared" si="176"/>
        <v>130.97269244476121</v>
      </c>
      <c r="AN500" s="3">
        <f t="shared" si="177"/>
        <v>0</v>
      </c>
      <c r="AO500" s="3">
        <f t="shared" si="178"/>
        <v>130.97269244476121</v>
      </c>
      <c r="AP500" s="1" t="str">
        <f>INDEX({"EAD";"EAD";"EAD";"EAD MOOC";"EAD";"EAD";"EAD FP";"EAD";"PRESENCIAL";"PRESENCIAL";"PRESENCIAL";"PRESENCIAL"}, MATCH(CONCATENATE(E500, ".", F500),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01" spans="1:42" x14ac:dyDescent="0.25">
      <c r="A501" s="1" t="s">
        <v>27</v>
      </c>
      <c r="B501" s="1" t="s">
        <v>43</v>
      </c>
      <c r="C501" s="1" t="s">
        <v>29</v>
      </c>
      <c r="D501" s="1" t="s">
        <v>44</v>
      </c>
      <c r="E501" s="1" t="s">
        <v>120</v>
      </c>
      <c r="F501" s="1" t="s">
        <v>21</v>
      </c>
      <c r="G501" s="1" t="s">
        <v>128</v>
      </c>
      <c r="H501" s="1" t="s">
        <v>582</v>
      </c>
      <c r="I501" s="1" t="s">
        <v>289</v>
      </c>
      <c r="J501" s="1" t="s">
        <v>125</v>
      </c>
      <c r="K501" s="1" t="s">
        <v>163</v>
      </c>
      <c r="L501" s="1">
        <v>2833563</v>
      </c>
      <c r="M501" s="1" t="s">
        <v>711</v>
      </c>
      <c r="N501" s="5">
        <f t="shared" si="181"/>
        <v>44592</v>
      </c>
      <c r="O501" s="5">
        <f>DATE(2023,12,23)</f>
        <v>45283</v>
      </c>
      <c r="P501" s="5">
        <f t="shared" si="159"/>
        <v>46378</v>
      </c>
      <c r="Q501" s="1">
        <v>1258</v>
      </c>
      <c r="R501" s="1">
        <v>1200</v>
      </c>
      <c r="S501" s="1">
        <f t="shared" si="160"/>
        <v>1200</v>
      </c>
      <c r="T501" s="1">
        <v>2.5</v>
      </c>
      <c r="U501" s="1" t="str">
        <f t="shared" si="161"/>
        <v>SIM</v>
      </c>
      <c r="V501" s="1">
        <f t="shared" si="162"/>
        <v>692</v>
      </c>
      <c r="W501" s="4">
        <f t="shared" si="163"/>
        <v>1.7341040462427746</v>
      </c>
      <c r="X501" s="4">
        <f t="shared" si="164"/>
        <v>632.94797687861274</v>
      </c>
      <c r="Y501" s="4">
        <f t="shared" si="165"/>
        <v>0.79118497109826591</v>
      </c>
      <c r="AB501" s="5">
        <f t="shared" si="166"/>
        <v>45292</v>
      </c>
      <c r="AC501" s="5">
        <f t="shared" si="167"/>
        <v>45657</v>
      </c>
      <c r="AD501" s="1">
        <v>2</v>
      </c>
      <c r="AE501" s="1">
        <f t="shared" si="168"/>
        <v>0</v>
      </c>
      <c r="AF501" s="1">
        <f t="shared" si="169"/>
        <v>0</v>
      </c>
      <c r="AG501" s="1">
        <f t="shared" si="170"/>
        <v>0</v>
      </c>
      <c r="AH501" s="1">
        <f t="shared" si="171"/>
        <v>0</v>
      </c>
      <c r="AI501" s="1">
        <f t="shared" si="172"/>
        <v>183</v>
      </c>
      <c r="AJ501" s="3">
        <f t="shared" si="173"/>
        <v>0.5</v>
      </c>
      <c r="AK501" s="3">
        <f t="shared" si="174"/>
        <v>0.39559248554913296</v>
      </c>
      <c r="AL501" s="3">
        <f t="shared" si="175"/>
        <v>0.39559248554913296</v>
      </c>
      <c r="AM501" s="3">
        <f t="shared" si="176"/>
        <v>0.98898121387283244</v>
      </c>
      <c r="AN501" s="3">
        <f t="shared" si="177"/>
        <v>0</v>
      </c>
      <c r="AO501" s="3">
        <f t="shared" si="178"/>
        <v>0.98898121387283244</v>
      </c>
      <c r="AP501" s="1" t="str">
        <f>INDEX({"EAD";"EAD";"EAD";"EAD MOOC";"EAD";"EAD";"EAD FP";"EAD";"PRESENCIAL";"PRESENCIAL";"PRESENCIAL";"PRESENCIAL"}, MATCH(CONCATENATE(E501, ".", F501),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02" spans="1:42" x14ac:dyDescent="0.25">
      <c r="A502" s="1" t="s">
        <v>27</v>
      </c>
      <c r="B502" s="1" t="s">
        <v>43</v>
      </c>
      <c r="C502" s="1" t="s">
        <v>29</v>
      </c>
      <c r="D502" s="1" t="s">
        <v>44</v>
      </c>
      <c r="E502" s="1" t="s">
        <v>120</v>
      </c>
      <c r="F502" s="1" t="s">
        <v>21</v>
      </c>
      <c r="G502" s="1" t="s">
        <v>128</v>
      </c>
      <c r="H502" s="1" t="s">
        <v>559</v>
      </c>
      <c r="I502" s="1" t="s">
        <v>289</v>
      </c>
      <c r="J502" s="1" t="s">
        <v>125</v>
      </c>
      <c r="K502" s="1" t="s">
        <v>163</v>
      </c>
      <c r="L502" s="1">
        <v>2833564</v>
      </c>
      <c r="M502" s="1" t="s">
        <v>712</v>
      </c>
      <c r="N502" s="5">
        <f t="shared" si="181"/>
        <v>44592</v>
      </c>
      <c r="O502" s="5">
        <f>DATE(2023,12,23)</f>
        <v>45283</v>
      </c>
      <c r="P502" s="5">
        <f t="shared" si="159"/>
        <v>46378</v>
      </c>
      <c r="Q502" s="1">
        <v>1394</v>
      </c>
      <c r="R502" s="1">
        <v>1200</v>
      </c>
      <c r="S502" s="1">
        <f t="shared" si="160"/>
        <v>1200</v>
      </c>
      <c r="T502" s="1">
        <v>2.5</v>
      </c>
      <c r="U502" s="1" t="str">
        <f t="shared" si="161"/>
        <v>SIM</v>
      </c>
      <c r="V502" s="1">
        <f t="shared" si="162"/>
        <v>692</v>
      </c>
      <c r="W502" s="4">
        <f t="shared" si="163"/>
        <v>1.7341040462427746</v>
      </c>
      <c r="X502" s="4">
        <f t="shared" si="164"/>
        <v>632.94797687861274</v>
      </c>
      <c r="Y502" s="4">
        <f t="shared" si="165"/>
        <v>0.79118497109826591</v>
      </c>
      <c r="AB502" s="5">
        <f t="shared" si="166"/>
        <v>45292</v>
      </c>
      <c r="AC502" s="5">
        <f t="shared" si="167"/>
        <v>45657</v>
      </c>
      <c r="AD502" s="1">
        <v>8</v>
      </c>
      <c r="AE502" s="1">
        <f t="shared" si="168"/>
        <v>0</v>
      </c>
      <c r="AF502" s="1">
        <f t="shared" si="169"/>
        <v>0</v>
      </c>
      <c r="AG502" s="1">
        <f t="shared" si="170"/>
        <v>0</v>
      </c>
      <c r="AH502" s="1">
        <f t="shared" si="171"/>
        <v>0</v>
      </c>
      <c r="AI502" s="1">
        <f t="shared" si="172"/>
        <v>183</v>
      </c>
      <c r="AJ502" s="3">
        <f t="shared" si="173"/>
        <v>0.5</v>
      </c>
      <c r="AK502" s="3">
        <f t="shared" si="174"/>
        <v>0.39559248554913296</v>
      </c>
      <c r="AL502" s="3">
        <f t="shared" si="175"/>
        <v>1.5823699421965318</v>
      </c>
      <c r="AM502" s="3">
        <f t="shared" si="176"/>
        <v>3.9559248554913298</v>
      </c>
      <c r="AN502" s="3">
        <f t="shared" si="177"/>
        <v>0</v>
      </c>
      <c r="AO502" s="3">
        <f t="shared" si="178"/>
        <v>3.9559248554913298</v>
      </c>
      <c r="AP502" s="1" t="str">
        <f>INDEX({"EAD";"EAD";"EAD";"EAD MOOC";"EAD";"EAD";"EAD FP";"EAD";"PRESENCIAL";"PRESENCIAL";"PRESENCIAL";"PRESENCIAL"}, MATCH(CONCATENATE(E502, ".", F502),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03" spans="1:42" x14ac:dyDescent="0.25">
      <c r="A503" s="1" t="s">
        <v>27</v>
      </c>
      <c r="B503" s="1" t="s">
        <v>43</v>
      </c>
      <c r="C503" s="1" t="s">
        <v>29</v>
      </c>
      <c r="D503" s="1" t="s">
        <v>44</v>
      </c>
      <c r="E503" s="1" t="s">
        <v>120</v>
      </c>
      <c r="F503" s="1" t="s">
        <v>21</v>
      </c>
      <c r="G503" s="1" t="s">
        <v>128</v>
      </c>
      <c r="H503" s="1" t="s">
        <v>586</v>
      </c>
      <c r="I503" s="1" t="s">
        <v>503</v>
      </c>
      <c r="J503" s="1" t="s">
        <v>125</v>
      </c>
      <c r="K503" s="1" t="s">
        <v>163</v>
      </c>
      <c r="L503" s="1">
        <v>2833565</v>
      </c>
      <c r="M503" s="1" t="s">
        <v>713</v>
      </c>
      <c r="N503" s="5">
        <f t="shared" si="181"/>
        <v>44592</v>
      </c>
      <c r="O503" s="5">
        <f>DATE(2023,12,23)</f>
        <v>45283</v>
      </c>
      <c r="P503" s="5">
        <f t="shared" si="159"/>
        <v>46378</v>
      </c>
      <c r="Q503" s="1">
        <v>1703</v>
      </c>
      <c r="R503" s="1">
        <v>1200</v>
      </c>
      <c r="S503" s="1">
        <f t="shared" si="160"/>
        <v>1200</v>
      </c>
      <c r="T503" s="1">
        <v>2.5</v>
      </c>
      <c r="U503" s="1" t="str">
        <f t="shared" si="161"/>
        <v>SIM</v>
      </c>
      <c r="V503" s="1">
        <f t="shared" si="162"/>
        <v>692</v>
      </c>
      <c r="W503" s="4">
        <f t="shared" si="163"/>
        <v>1.7341040462427746</v>
      </c>
      <c r="X503" s="4">
        <f t="shared" si="164"/>
        <v>632.94797687861274</v>
      </c>
      <c r="Y503" s="4">
        <f t="shared" si="165"/>
        <v>0.79118497109826591</v>
      </c>
      <c r="AB503" s="5">
        <f t="shared" si="166"/>
        <v>45292</v>
      </c>
      <c r="AC503" s="5">
        <f t="shared" si="167"/>
        <v>45657</v>
      </c>
      <c r="AD503" s="1">
        <v>20</v>
      </c>
      <c r="AE503" s="1">
        <f t="shared" si="168"/>
        <v>0</v>
      </c>
      <c r="AF503" s="1">
        <f t="shared" si="169"/>
        <v>0</v>
      </c>
      <c r="AG503" s="1">
        <f t="shared" si="170"/>
        <v>0</v>
      </c>
      <c r="AH503" s="1">
        <f t="shared" si="171"/>
        <v>0</v>
      </c>
      <c r="AI503" s="1">
        <f t="shared" si="172"/>
        <v>183</v>
      </c>
      <c r="AJ503" s="3">
        <f t="shared" si="173"/>
        <v>0.5</v>
      </c>
      <c r="AK503" s="3">
        <f t="shared" si="174"/>
        <v>0.39559248554913296</v>
      </c>
      <c r="AL503" s="3">
        <f t="shared" si="175"/>
        <v>3.9559248554913298</v>
      </c>
      <c r="AM503" s="3">
        <f t="shared" si="176"/>
        <v>9.889812138728324</v>
      </c>
      <c r="AN503" s="3">
        <f t="shared" si="177"/>
        <v>0</v>
      </c>
      <c r="AO503" s="3">
        <f t="shared" si="178"/>
        <v>9.889812138728324</v>
      </c>
      <c r="AP503" s="1" t="str">
        <f>INDEX({"EAD";"EAD";"EAD";"EAD MOOC";"EAD";"EAD";"EAD FP";"EAD";"PRESENCIAL";"PRESENCIAL";"PRESENCIAL";"PRESENCIAL"}, MATCH(CONCATENATE(E503, ".", F503),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04" spans="1:42" x14ac:dyDescent="0.25">
      <c r="A504" s="1" t="s">
        <v>27</v>
      </c>
      <c r="B504" s="1" t="s">
        <v>43</v>
      </c>
      <c r="C504" s="1" t="s">
        <v>29</v>
      </c>
      <c r="D504" s="1" t="s">
        <v>44</v>
      </c>
      <c r="E504" s="1" t="s">
        <v>120</v>
      </c>
      <c r="F504" s="1" t="s">
        <v>21</v>
      </c>
      <c r="G504" s="1" t="s">
        <v>128</v>
      </c>
      <c r="H504" s="1" t="s">
        <v>526</v>
      </c>
      <c r="I504" s="1" t="s">
        <v>503</v>
      </c>
      <c r="J504" s="1" t="s">
        <v>125</v>
      </c>
      <c r="K504" s="1" t="s">
        <v>163</v>
      </c>
      <c r="L504" s="1">
        <v>2833568</v>
      </c>
      <c r="M504" s="1" t="s">
        <v>714</v>
      </c>
      <c r="N504" s="5">
        <f t="shared" si="181"/>
        <v>44592</v>
      </c>
      <c r="O504" s="5">
        <f>DATE(2023,12,23)</f>
        <v>45283</v>
      </c>
      <c r="P504" s="5">
        <f t="shared" si="159"/>
        <v>46378</v>
      </c>
      <c r="Q504" s="1">
        <v>1707</v>
      </c>
      <c r="R504" s="1">
        <v>1200</v>
      </c>
      <c r="S504" s="1">
        <f t="shared" si="160"/>
        <v>1200</v>
      </c>
      <c r="T504" s="1">
        <v>2.5</v>
      </c>
      <c r="U504" s="1" t="str">
        <f t="shared" si="161"/>
        <v>SIM</v>
      </c>
      <c r="V504" s="1">
        <f t="shared" si="162"/>
        <v>692</v>
      </c>
      <c r="W504" s="4">
        <f t="shared" si="163"/>
        <v>1.7341040462427746</v>
      </c>
      <c r="X504" s="4">
        <f t="shared" si="164"/>
        <v>632.94797687861274</v>
      </c>
      <c r="Y504" s="4">
        <f t="shared" si="165"/>
        <v>0.79118497109826591</v>
      </c>
      <c r="AB504" s="5">
        <f t="shared" si="166"/>
        <v>45292</v>
      </c>
      <c r="AC504" s="5">
        <f t="shared" si="167"/>
        <v>45657</v>
      </c>
      <c r="AD504" s="1">
        <v>15</v>
      </c>
      <c r="AE504" s="1">
        <f t="shared" si="168"/>
        <v>0</v>
      </c>
      <c r="AF504" s="1">
        <f t="shared" si="169"/>
        <v>0</v>
      </c>
      <c r="AG504" s="1">
        <f t="shared" si="170"/>
        <v>0</v>
      </c>
      <c r="AH504" s="1">
        <f t="shared" si="171"/>
        <v>0</v>
      </c>
      <c r="AI504" s="1">
        <f t="shared" si="172"/>
        <v>183</v>
      </c>
      <c r="AJ504" s="3">
        <f t="shared" si="173"/>
        <v>0.5</v>
      </c>
      <c r="AK504" s="3">
        <f t="shared" si="174"/>
        <v>0.39559248554913296</v>
      </c>
      <c r="AL504" s="3">
        <f t="shared" si="175"/>
        <v>2.9669436416184971</v>
      </c>
      <c r="AM504" s="3">
        <f t="shared" si="176"/>
        <v>7.417359104046243</v>
      </c>
      <c r="AN504" s="3">
        <f t="shared" si="177"/>
        <v>0</v>
      </c>
      <c r="AO504" s="3">
        <f t="shared" si="178"/>
        <v>7.417359104046243</v>
      </c>
      <c r="AP504" s="1" t="str">
        <f>INDEX({"EAD";"EAD";"EAD";"EAD MOOC";"EAD";"EAD";"EAD FP";"EAD";"PRESENCIAL";"PRESENCIAL";"PRESENCIAL";"PRESENCIAL"}, MATCH(CONCATENATE(E504, ".", F504),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05" spans="1:42" x14ac:dyDescent="0.25">
      <c r="A505" s="1" t="s">
        <v>27</v>
      </c>
      <c r="B505" s="1" t="s">
        <v>43</v>
      </c>
      <c r="C505" s="1" t="s">
        <v>29</v>
      </c>
      <c r="D505" s="1" t="s">
        <v>44</v>
      </c>
      <c r="E505" s="1" t="s">
        <v>120</v>
      </c>
      <c r="F505" s="1" t="s">
        <v>21</v>
      </c>
      <c r="G505" s="1" t="s">
        <v>140</v>
      </c>
      <c r="H505" s="1" t="s">
        <v>498</v>
      </c>
      <c r="I505" s="1" t="s">
        <v>289</v>
      </c>
      <c r="J505" s="1" t="s">
        <v>125</v>
      </c>
      <c r="K505" s="1" t="s">
        <v>109</v>
      </c>
      <c r="L505" s="1">
        <v>2833585</v>
      </c>
      <c r="M505" s="1" t="s">
        <v>715</v>
      </c>
      <c r="N505" s="5">
        <f t="shared" si="181"/>
        <v>44592</v>
      </c>
      <c r="O505" s="5">
        <f>DATE(2025,8,26)</f>
        <v>45895</v>
      </c>
      <c r="P505" s="5">
        <f t="shared" si="159"/>
        <v>46990</v>
      </c>
      <c r="Q505" s="1">
        <v>2648</v>
      </c>
      <c r="R505" s="1">
        <v>2400</v>
      </c>
      <c r="S505" s="1">
        <f t="shared" si="160"/>
        <v>2400</v>
      </c>
      <c r="T505" s="1">
        <v>2.5</v>
      </c>
      <c r="U505" s="1" t="str">
        <f t="shared" si="161"/>
        <v>SIM</v>
      </c>
      <c r="V505" s="1">
        <f t="shared" si="162"/>
        <v>1304</v>
      </c>
      <c r="W505" s="4">
        <f t="shared" si="163"/>
        <v>1.8404907975460123</v>
      </c>
      <c r="X505" s="4">
        <f t="shared" si="164"/>
        <v>671.77914110429447</v>
      </c>
      <c r="Y505" s="4">
        <f t="shared" si="165"/>
        <v>0.83972392638036808</v>
      </c>
      <c r="AB505" s="5">
        <f t="shared" si="166"/>
        <v>45292</v>
      </c>
      <c r="AC505" s="5">
        <f t="shared" si="167"/>
        <v>45657</v>
      </c>
      <c r="AD505" s="1">
        <v>13</v>
      </c>
      <c r="AE505" s="1">
        <f t="shared" si="168"/>
        <v>366</v>
      </c>
      <c r="AF505" s="1">
        <f t="shared" si="169"/>
        <v>0</v>
      </c>
      <c r="AG505" s="1">
        <f t="shared" si="170"/>
        <v>0</v>
      </c>
      <c r="AH505" s="1">
        <f t="shared" si="171"/>
        <v>0</v>
      </c>
      <c r="AI505" s="1">
        <f t="shared" si="172"/>
        <v>0</v>
      </c>
      <c r="AJ505" s="3">
        <f t="shared" si="173"/>
        <v>1</v>
      </c>
      <c r="AK505" s="3">
        <f t="shared" si="174"/>
        <v>0.83972392638036808</v>
      </c>
      <c r="AL505" s="3">
        <f t="shared" si="175"/>
        <v>10.916411042944786</v>
      </c>
      <c r="AM505" s="3">
        <f t="shared" si="176"/>
        <v>27.291027607361965</v>
      </c>
      <c r="AN505" s="3">
        <f t="shared" si="177"/>
        <v>0</v>
      </c>
      <c r="AO505" s="3">
        <f t="shared" si="178"/>
        <v>27.291027607361965</v>
      </c>
      <c r="AP505" s="1" t="str">
        <f>INDEX({"EAD";"EAD";"EAD";"EAD MOOC";"EAD";"EAD";"EAD FP";"EAD";"PRESENCIAL";"PRESENCIAL";"PRESENCIAL";"PRESENCIAL"}, MATCH(CONCATENATE(E505, ".", F505),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06" spans="1:42" x14ac:dyDescent="0.25">
      <c r="A506" s="1" t="s">
        <v>27</v>
      </c>
      <c r="B506" s="1" t="s">
        <v>43</v>
      </c>
      <c r="C506" s="1" t="s">
        <v>29</v>
      </c>
      <c r="D506" s="1" t="s">
        <v>44</v>
      </c>
      <c r="E506" s="1" t="s">
        <v>120</v>
      </c>
      <c r="F506" s="1" t="s">
        <v>21</v>
      </c>
      <c r="G506" s="1" t="s">
        <v>140</v>
      </c>
      <c r="H506" s="1" t="s">
        <v>529</v>
      </c>
      <c r="I506" s="1" t="s">
        <v>289</v>
      </c>
      <c r="J506" s="1" t="s">
        <v>125</v>
      </c>
      <c r="K506" s="1" t="s">
        <v>109</v>
      </c>
      <c r="L506" s="1">
        <v>2833586</v>
      </c>
      <c r="M506" s="1" t="s">
        <v>716</v>
      </c>
      <c r="N506" s="5">
        <f t="shared" si="181"/>
        <v>44592</v>
      </c>
      <c r="O506" s="5">
        <f>DATE(2025,6,28)</f>
        <v>45836</v>
      </c>
      <c r="P506" s="5">
        <f t="shared" si="159"/>
        <v>46931</v>
      </c>
      <c r="Q506" s="1">
        <v>2562</v>
      </c>
      <c r="R506" s="1">
        <v>2400</v>
      </c>
      <c r="S506" s="1">
        <f t="shared" si="160"/>
        <v>2400</v>
      </c>
      <c r="T506" s="1">
        <v>2.5</v>
      </c>
      <c r="U506" s="1" t="str">
        <f t="shared" si="161"/>
        <v>SIM</v>
      </c>
      <c r="V506" s="1">
        <f t="shared" si="162"/>
        <v>1245</v>
      </c>
      <c r="W506" s="4">
        <f t="shared" si="163"/>
        <v>1.927710843373494</v>
      </c>
      <c r="X506" s="4">
        <f t="shared" si="164"/>
        <v>703.61445783132535</v>
      </c>
      <c r="Y506" s="4">
        <f t="shared" si="165"/>
        <v>0.87951807228915668</v>
      </c>
      <c r="AB506" s="5">
        <f t="shared" si="166"/>
        <v>45292</v>
      </c>
      <c r="AC506" s="5">
        <f t="shared" si="167"/>
        <v>45657</v>
      </c>
      <c r="AD506" s="1">
        <v>13</v>
      </c>
      <c r="AE506" s="1">
        <f t="shared" si="168"/>
        <v>366</v>
      </c>
      <c r="AF506" s="1">
        <f t="shared" si="169"/>
        <v>0</v>
      </c>
      <c r="AG506" s="1">
        <f t="shared" si="170"/>
        <v>0</v>
      </c>
      <c r="AH506" s="1">
        <f t="shared" si="171"/>
        <v>0</v>
      </c>
      <c r="AI506" s="1">
        <f t="shared" si="172"/>
        <v>0</v>
      </c>
      <c r="AJ506" s="3">
        <f t="shared" si="173"/>
        <v>1</v>
      </c>
      <c r="AK506" s="3">
        <f t="shared" si="174"/>
        <v>0.87951807228915668</v>
      </c>
      <c r="AL506" s="3">
        <f t="shared" si="175"/>
        <v>11.433734939759036</v>
      </c>
      <c r="AM506" s="3">
        <f t="shared" si="176"/>
        <v>28.58433734939759</v>
      </c>
      <c r="AN506" s="3">
        <f t="shared" si="177"/>
        <v>0</v>
      </c>
      <c r="AO506" s="3">
        <f t="shared" si="178"/>
        <v>28.58433734939759</v>
      </c>
      <c r="AP506" s="1" t="str">
        <f>INDEX({"EAD";"EAD";"EAD";"EAD MOOC";"EAD";"EAD";"EAD FP";"EAD";"PRESENCIAL";"PRESENCIAL";"PRESENCIAL";"PRESENCIAL"}, MATCH(CONCATENATE(E506, ".", F506),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07" spans="1:42" x14ac:dyDescent="0.25">
      <c r="A507" s="1" t="s">
        <v>27</v>
      </c>
      <c r="B507" s="1" t="s">
        <v>43</v>
      </c>
      <c r="C507" s="1" t="s">
        <v>29</v>
      </c>
      <c r="D507" s="1" t="s">
        <v>44</v>
      </c>
      <c r="E507" s="1" t="s">
        <v>120</v>
      </c>
      <c r="F507" s="1" t="s">
        <v>21</v>
      </c>
      <c r="G507" s="1" t="s">
        <v>140</v>
      </c>
      <c r="H507" s="1" t="s">
        <v>534</v>
      </c>
      <c r="I507" s="1" t="s">
        <v>289</v>
      </c>
      <c r="J507" s="1" t="s">
        <v>125</v>
      </c>
      <c r="K507" s="1" t="s">
        <v>109</v>
      </c>
      <c r="L507" s="1">
        <v>2833588</v>
      </c>
      <c r="M507" s="1" t="s">
        <v>717</v>
      </c>
      <c r="N507" s="5">
        <f t="shared" si="181"/>
        <v>44592</v>
      </c>
      <c r="O507" s="5">
        <f>DATE(2024,12,23)</f>
        <v>45649</v>
      </c>
      <c r="P507" s="5">
        <f t="shared" si="159"/>
        <v>46744</v>
      </c>
      <c r="Q507" s="1">
        <v>2548</v>
      </c>
      <c r="R507" s="1">
        <v>2400</v>
      </c>
      <c r="S507" s="1">
        <f t="shared" si="160"/>
        <v>2400</v>
      </c>
      <c r="T507" s="1">
        <v>2.5</v>
      </c>
      <c r="U507" s="1" t="str">
        <f t="shared" si="161"/>
        <v>SIM</v>
      </c>
      <c r="V507" s="1">
        <f t="shared" si="162"/>
        <v>1058</v>
      </c>
      <c r="W507" s="4">
        <f t="shared" si="163"/>
        <v>2.2684310018903591</v>
      </c>
      <c r="X507" s="4">
        <f t="shared" si="164"/>
        <v>827.97731568998108</v>
      </c>
      <c r="Y507" s="4">
        <f t="shared" si="165"/>
        <v>1.0349716446124764</v>
      </c>
      <c r="AB507" s="5">
        <f t="shared" si="166"/>
        <v>45292</v>
      </c>
      <c r="AC507" s="5">
        <f t="shared" si="167"/>
        <v>45657</v>
      </c>
      <c r="AD507" s="1">
        <v>13</v>
      </c>
      <c r="AE507" s="1">
        <f t="shared" si="168"/>
        <v>0</v>
      </c>
      <c r="AF507" s="1">
        <f t="shared" si="169"/>
        <v>0</v>
      </c>
      <c r="AG507" s="1">
        <f t="shared" si="170"/>
        <v>358</v>
      </c>
      <c r="AH507" s="1">
        <f t="shared" si="171"/>
        <v>0</v>
      </c>
      <c r="AI507" s="1">
        <f t="shared" si="172"/>
        <v>0</v>
      </c>
      <c r="AJ507" s="3">
        <f t="shared" si="173"/>
        <v>0.97814207650273222</v>
      </c>
      <c r="AK507" s="3">
        <f t="shared" si="174"/>
        <v>1.0123493135826955</v>
      </c>
      <c r="AL507" s="3">
        <f t="shared" si="175"/>
        <v>13.160541076575042</v>
      </c>
      <c r="AM507" s="3">
        <f t="shared" si="176"/>
        <v>32.901352691437602</v>
      </c>
      <c r="AN507" s="3">
        <f t="shared" si="177"/>
        <v>0</v>
      </c>
      <c r="AO507" s="3">
        <f t="shared" si="178"/>
        <v>32.901352691437602</v>
      </c>
      <c r="AP507" s="1" t="str">
        <f>INDEX({"EAD";"EAD";"EAD";"EAD MOOC";"EAD";"EAD";"EAD FP";"EAD";"PRESENCIAL";"PRESENCIAL";"PRESENCIAL";"PRESENCIAL"}, MATCH(CONCATENATE(E507, ".", F507),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08" spans="1:42" x14ac:dyDescent="0.25">
      <c r="A508" s="1" t="s">
        <v>27</v>
      </c>
      <c r="B508" s="1" t="s">
        <v>43</v>
      </c>
      <c r="C508" s="1" t="s">
        <v>29</v>
      </c>
      <c r="D508" s="1" t="s">
        <v>44</v>
      </c>
      <c r="E508" s="1" t="s">
        <v>120</v>
      </c>
      <c r="F508" s="1" t="s">
        <v>21</v>
      </c>
      <c r="G508" s="1" t="s">
        <v>140</v>
      </c>
      <c r="H508" s="1" t="s">
        <v>550</v>
      </c>
      <c r="I508" s="1" t="s">
        <v>209</v>
      </c>
      <c r="J508" s="1" t="s">
        <v>125</v>
      </c>
      <c r="K508" s="1" t="s">
        <v>109</v>
      </c>
      <c r="L508" s="1">
        <v>2833590</v>
      </c>
      <c r="M508" s="1" t="s">
        <v>718</v>
      </c>
      <c r="N508" s="5">
        <f t="shared" si="181"/>
        <v>44592</v>
      </c>
      <c r="O508" s="5">
        <f>DATE(2024,12,23)</f>
        <v>45649</v>
      </c>
      <c r="P508" s="5">
        <f t="shared" si="159"/>
        <v>46744</v>
      </c>
      <c r="Q508" s="1">
        <v>2130</v>
      </c>
      <c r="R508" s="1">
        <v>2000</v>
      </c>
      <c r="S508" s="1">
        <f t="shared" si="160"/>
        <v>2000</v>
      </c>
      <c r="T508" s="1">
        <v>1.5</v>
      </c>
      <c r="U508" s="1" t="str">
        <f t="shared" si="161"/>
        <v>SIM</v>
      </c>
      <c r="V508" s="1">
        <f t="shared" si="162"/>
        <v>1058</v>
      </c>
      <c r="W508" s="4">
        <f t="shared" si="163"/>
        <v>1.890359168241966</v>
      </c>
      <c r="X508" s="4">
        <f t="shared" si="164"/>
        <v>689.98109640831763</v>
      </c>
      <c r="Y508" s="4">
        <f t="shared" si="165"/>
        <v>0.86247637051039705</v>
      </c>
      <c r="AB508" s="5">
        <f t="shared" si="166"/>
        <v>45292</v>
      </c>
      <c r="AC508" s="5">
        <f t="shared" si="167"/>
        <v>45657</v>
      </c>
      <c r="AD508" s="1">
        <v>24</v>
      </c>
      <c r="AE508" s="1">
        <f t="shared" si="168"/>
        <v>0</v>
      </c>
      <c r="AF508" s="1">
        <f t="shared" si="169"/>
        <v>0</v>
      </c>
      <c r="AG508" s="1">
        <f t="shared" si="170"/>
        <v>358</v>
      </c>
      <c r="AH508" s="1">
        <f t="shared" si="171"/>
        <v>0</v>
      </c>
      <c r="AI508" s="1">
        <f t="shared" si="172"/>
        <v>0</v>
      </c>
      <c r="AJ508" s="3">
        <f t="shared" si="173"/>
        <v>0.97814207650273222</v>
      </c>
      <c r="AK508" s="3">
        <f t="shared" si="174"/>
        <v>0.84362442798557957</v>
      </c>
      <c r="AL508" s="3">
        <f t="shared" si="175"/>
        <v>20.24698627165391</v>
      </c>
      <c r="AM508" s="3">
        <f t="shared" si="176"/>
        <v>30.370479407480865</v>
      </c>
      <c r="AN508" s="3">
        <f t="shared" si="177"/>
        <v>0</v>
      </c>
      <c r="AO508" s="3">
        <f t="shared" si="178"/>
        <v>30.370479407480865</v>
      </c>
      <c r="AP508" s="1" t="str">
        <f>INDEX({"EAD";"EAD";"EAD";"EAD MOOC";"EAD";"EAD";"EAD FP";"EAD";"PRESENCIAL";"PRESENCIAL";"PRESENCIAL";"PRESENCIAL"}, MATCH(CONCATENATE(E508, ".", F508),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09" spans="1:42" x14ac:dyDescent="0.25">
      <c r="A509" s="1" t="s">
        <v>27</v>
      </c>
      <c r="B509" s="1" t="s">
        <v>43</v>
      </c>
      <c r="C509" s="1" t="s">
        <v>29</v>
      </c>
      <c r="D509" s="1" t="s">
        <v>44</v>
      </c>
      <c r="E509" s="1" t="s">
        <v>120</v>
      </c>
      <c r="F509" s="1" t="s">
        <v>21</v>
      </c>
      <c r="G509" s="1" t="s">
        <v>140</v>
      </c>
      <c r="H509" s="1" t="s">
        <v>500</v>
      </c>
      <c r="I509" s="1" t="s">
        <v>209</v>
      </c>
      <c r="J509" s="1" t="s">
        <v>125</v>
      </c>
      <c r="K509" s="1" t="s">
        <v>109</v>
      </c>
      <c r="L509" s="1">
        <v>2833593</v>
      </c>
      <c r="M509" s="1" t="s">
        <v>719</v>
      </c>
      <c r="N509" s="5">
        <f t="shared" si="181"/>
        <v>44592</v>
      </c>
      <c r="O509" s="5">
        <f>DATE(2024,12,23)</f>
        <v>45649</v>
      </c>
      <c r="P509" s="5">
        <f t="shared" si="159"/>
        <v>46744</v>
      </c>
      <c r="Q509" s="1">
        <v>2130</v>
      </c>
      <c r="R509" s="1">
        <v>2000</v>
      </c>
      <c r="S509" s="1">
        <f t="shared" si="160"/>
        <v>2000</v>
      </c>
      <c r="T509" s="1">
        <v>1</v>
      </c>
      <c r="U509" s="1" t="str">
        <f t="shared" si="161"/>
        <v>SIM</v>
      </c>
      <c r="V509" s="1">
        <f t="shared" si="162"/>
        <v>1058</v>
      </c>
      <c r="W509" s="4">
        <f t="shared" si="163"/>
        <v>1.890359168241966</v>
      </c>
      <c r="X509" s="4">
        <f t="shared" si="164"/>
        <v>689.98109640831763</v>
      </c>
      <c r="Y509" s="4">
        <f t="shared" si="165"/>
        <v>0.86247637051039705</v>
      </c>
      <c r="AB509" s="5">
        <f t="shared" si="166"/>
        <v>45292</v>
      </c>
      <c r="AC509" s="5">
        <f t="shared" si="167"/>
        <v>45657</v>
      </c>
      <c r="AD509" s="1">
        <v>29</v>
      </c>
      <c r="AE509" s="1">
        <f t="shared" si="168"/>
        <v>0</v>
      </c>
      <c r="AF509" s="1">
        <f t="shared" si="169"/>
        <v>0</v>
      </c>
      <c r="AG509" s="1">
        <f t="shared" si="170"/>
        <v>358</v>
      </c>
      <c r="AH509" s="1">
        <f t="shared" si="171"/>
        <v>0</v>
      </c>
      <c r="AI509" s="1">
        <f t="shared" si="172"/>
        <v>0</v>
      </c>
      <c r="AJ509" s="3">
        <f t="shared" si="173"/>
        <v>0.97814207650273222</v>
      </c>
      <c r="AK509" s="3">
        <f t="shared" si="174"/>
        <v>0.84362442798557957</v>
      </c>
      <c r="AL509" s="3">
        <f t="shared" si="175"/>
        <v>24.465108411581809</v>
      </c>
      <c r="AM509" s="3">
        <f t="shared" si="176"/>
        <v>24.465108411581809</v>
      </c>
      <c r="AN509" s="3">
        <f t="shared" si="177"/>
        <v>0</v>
      </c>
      <c r="AO509" s="3">
        <f t="shared" si="178"/>
        <v>24.465108411581809</v>
      </c>
      <c r="AP509" s="1" t="str">
        <f>INDEX({"EAD";"EAD";"EAD";"EAD MOOC";"EAD";"EAD";"EAD FP";"EAD";"PRESENCIAL";"PRESENCIAL";"PRESENCIAL";"PRESENCIAL"}, MATCH(CONCATENATE(E509, ".", F509),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10" spans="1:42" x14ac:dyDescent="0.25">
      <c r="A510" s="1" t="s">
        <v>27</v>
      </c>
      <c r="B510" s="1" t="s">
        <v>43</v>
      </c>
      <c r="C510" s="1" t="s">
        <v>29</v>
      </c>
      <c r="D510" s="1" t="s">
        <v>44</v>
      </c>
      <c r="E510" s="1" t="s">
        <v>120</v>
      </c>
      <c r="F510" s="1" t="s">
        <v>21</v>
      </c>
      <c r="G510" s="1" t="s">
        <v>121</v>
      </c>
      <c r="H510" s="1" t="s">
        <v>506</v>
      </c>
      <c r="I510" s="1" t="s">
        <v>209</v>
      </c>
      <c r="J510" s="1" t="s">
        <v>125</v>
      </c>
      <c r="K510" s="1" t="s">
        <v>109</v>
      </c>
      <c r="L510" s="1">
        <v>2833595</v>
      </c>
      <c r="M510" s="1" t="s">
        <v>720</v>
      </c>
      <c r="N510" s="5">
        <f t="shared" si="181"/>
        <v>44592</v>
      </c>
      <c r="O510" s="5">
        <f>DATE(2026,12,23)</f>
        <v>46379</v>
      </c>
      <c r="P510" s="5">
        <f t="shared" si="159"/>
        <v>47474</v>
      </c>
      <c r="Q510" s="1">
        <v>4460</v>
      </c>
      <c r="R510" s="1">
        <v>3200</v>
      </c>
      <c r="S510" s="1">
        <f t="shared" si="160"/>
        <v>3200</v>
      </c>
      <c r="T510" s="1">
        <v>2.5</v>
      </c>
      <c r="U510" s="1" t="str">
        <f t="shared" si="161"/>
        <v>SIM</v>
      </c>
      <c r="V510" s="1">
        <f t="shared" si="162"/>
        <v>1788</v>
      </c>
      <c r="W510" s="4">
        <f t="shared" si="163"/>
        <v>1.7897091722595078</v>
      </c>
      <c r="X510" s="4">
        <f t="shared" si="164"/>
        <v>653.24384787472036</v>
      </c>
      <c r="Y510" s="4">
        <f t="shared" si="165"/>
        <v>0.81655480984340045</v>
      </c>
      <c r="AB510" s="5">
        <f t="shared" si="166"/>
        <v>45292</v>
      </c>
      <c r="AC510" s="5">
        <f t="shared" si="167"/>
        <v>45657</v>
      </c>
      <c r="AD510" s="1">
        <v>43</v>
      </c>
      <c r="AE510" s="1">
        <f t="shared" si="168"/>
        <v>366</v>
      </c>
      <c r="AF510" s="1">
        <f t="shared" si="169"/>
        <v>0</v>
      </c>
      <c r="AG510" s="1">
        <f t="shared" si="170"/>
        <v>0</v>
      </c>
      <c r="AH510" s="1">
        <f t="shared" si="171"/>
        <v>0</v>
      </c>
      <c r="AI510" s="1">
        <f t="shared" si="172"/>
        <v>0</v>
      </c>
      <c r="AJ510" s="3">
        <f t="shared" si="173"/>
        <v>1</v>
      </c>
      <c r="AK510" s="3">
        <f t="shared" si="174"/>
        <v>0.81655480984340045</v>
      </c>
      <c r="AL510" s="3">
        <f t="shared" si="175"/>
        <v>35.111856823266223</v>
      </c>
      <c r="AM510" s="3">
        <f t="shared" si="176"/>
        <v>87.779642058165564</v>
      </c>
      <c r="AN510" s="3">
        <f t="shared" si="177"/>
        <v>0</v>
      </c>
      <c r="AO510" s="3">
        <f t="shared" si="178"/>
        <v>87.779642058165564</v>
      </c>
      <c r="AP510" s="1" t="str">
        <f>INDEX({"EAD";"EAD";"EAD";"EAD MOOC";"EAD";"EAD";"EAD FP";"EAD";"PRESENCIAL";"PRESENCIAL";"PRESENCIAL";"PRESENCIAL"}, MATCH(CONCATENATE(E510, ".", F510),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11" spans="1:42" x14ac:dyDescent="0.25">
      <c r="A511" s="1" t="s">
        <v>27</v>
      </c>
      <c r="B511" s="1" t="s">
        <v>43</v>
      </c>
      <c r="C511" s="1" t="s">
        <v>29</v>
      </c>
      <c r="D511" s="1" t="s">
        <v>44</v>
      </c>
      <c r="E511" s="1" t="s">
        <v>120</v>
      </c>
      <c r="F511" s="1" t="s">
        <v>21</v>
      </c>
      <c r="G511" s="1" t="s">
        <v>121</v>
      </c>
      <c r="H511" s="1" t="s">
        <v>508</v>
      </c>
      <c r="I511" s="1" t="s">
        <v>503</v>
      </c>
      <c r="J511" s="1" t="s">
        <v>125</v>
      </c>
      <c r="K511" s="1" t="s">
        <v>109</v>
      </c>
      <c r="L511" s="1">
        <v>2833596</v>
      </c>
      <c r="M511" s="1" t="s">
        <v>721</v>
      </c>
      <c r="N511" s="5">
        <f t="shared" si="181"/>
        <v>44592</v>
      </c>
      <c r="O511" s="5">
        <f>DATE(2026,12,23)</f>
        <v>46379</v>
      </c>
      <c r="P511" s="5">
        <f t="shared" si="159"/>
        <v>47474</v>
      </c>
      <c r="Q511" s="1">
        <v>4610</v>
      </c>
      <c r="R511" s="1">
        <v>3600</v>
      </c>
      <c r="S511" s="1">
        <f t="shared" si="160"/>
        <v>3600</v>
      </c>
      <c r="T511" s="1">
        <v>2.5</v>
      </c>
      <c r="U511" s="1" t="str">
        <f t="shared" si="161"/>
        <v>SIM</v>
      </c>
      <c r="V511" s="1">
        <f t="shared" si="162"/>
        <v>1788</v>
      </c>
      <c r="W511" s="4">
        <f t="shared" si="163"/>
        <v>2.0134228187919465</v>
      </c>
      <c r="X511" s="4">
        <f t="shared" si="164"/>
        <v>734.89932885906046</v>
      </c>
      <c r="Y511" s="4">
        <f t="shared" si="165"/>
        <v>0.91862416107382561</v>
      </c>
      <c r="AB511" s="5">
        <f t="shared" si="166"/>
        <v>45292</v>
      </c>
      <c r="AC511" s="5">
        <f t="shared" si="167"/>
        <v>45657</v>
      </c>
      <c r="AD511" s="1">
        <v>13</v>
      </c>
      <c r="AE511" s="1">
        <f t="shared" si="168"/>
        <v>366</v>
      </c>
      <c r="AF511" s="1">
        <f t="shared" si="169"/>
        <v>0</v>
      </c>
      <c r="AG511" s="1">
        <f t="shared" si="170"/>
        <v>0</v>
      </c>
      <c r="AH511" s="1">
        <f t="shared" si="171"/>
        <v>0</v>
      </c>
      <c r="AI511" s="1">
        <f t="shared" si="172"/>
        <v>0</v>
      </c>
      <c r="AJ511" s="3">
        <f t="shared" si="173"/>
        <v>1</v>
      </c>
      <c r="AK511" s="3">
        <f t="shared" si="174"/>
        <v>0.91862416107382561</v>
      </c>
      <c r="AL511" s="3">
        <f t="shared" si="175"/>
        <v>11.942114093959733</v>
      </c>
      <c r="AM511" s="3">
        <f t="shared" si="176"/>
        <v>29.855285234899331</v>
      </c>
      <c r="AN511" s="3">
        <f t="shared" si="177"/>
        <v>0</v>
      </c>
      <c r="AO511" s="3">
        <f t="shared" si="178"/>
        <v>29.855285234899331</v>
      </c>
      <c r="AP511" s="1" t="str">
        <f>INDEX({"EAD";"EAD";"EAD";"EAD MOOC";"EAD";"EAD";"EAD FP";"EAD";"PRESENCIAL";"PRESENCIAL";"PRESENCIAL";"PRESENCIAL"}, MATCH(CONCATENATE(E511, ".", F511),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12" spans="1:42" x14ac:dyDescent="0.25">
      <c r="A512" s="1" t="s">
        <v>27</v>
      </c>
      <c r="B512" s="1" t="s">
        <v>43</v>
      </c>
      <c r="C512" s="1" t="s">
        <v>29</v>
      </c>
      <c r="D512" s="1" t="s">
        <v>44</v>
      </c>
      <c r="E512" s="1" t="s">
        <v>120</v>
      </c>
      <c r="F512" s="1" t="s">
        <v>21</v>
      </c>
      <c r="G512" s="1" t="s">
        <v>121</v>
      </c>
      <c r="H512" s="1" t="s">
        <v>662</v>
      </c>
      <c r="I512" s="1" t="s">
        <v>503</v>
      </c>
      <c r="J512" s="1" t="s">
        <v>125</v>
      </c>
      <c r="K512" s="1" t="s">
        <v>109</v>
      </c>
      <c r="L512" s="1">
        <v>2833599</v>
      </c>
      <c r="M512" s="1" t="s">
        <v>722</v>
      </c>
      <c r="N512" s="5">
        <f t="shared" si="181"/>
        <v>44592</v>
      </c>
      <c r="O512" s="5">
        <f>DATE(2026,1,23)</f>
        <v>46045</v>
      </c>
      <c r="P512" s="5">
        <f t="shared" si="159"/>
        <v>47140</v>
      </c>
      <c r="Q512" s="1">
        <v>3662</v>
      </c>
      <c r="R512" s="1">
        <v>3600</v>
      </c>
      <c r="S512" s="1">
        <f t="shared" si="160"/>
        <v>3600</v>
      </c>
      <c r="T512" s="1">
        <v>2.5</v>
      </c>
      <c r="U512" s="1" t="str">
        <f t="shared" si="161"/>
        <v>SIM</v>
      </c>
      <c r="V512" s="1">
        <f t="shared" si="162"/>
        <v>1454</v>
      </c>
      <c r="W512" s="4">
        <f t="shared" si="163"/>
        <v>2.4759284731774414</v>
      </c>
      <c r="X512" s="4">
        <f t="shared" si="164"/>
        <v>903.71389270976613</v>
      </c>
      <c r="Y512" s="4">
        <f t="shared" si="165"/>
        <v>1.1296423658872077</v>
      </c>
      <c r="AB512" s="5">
        <f t="shared" si="166"/>
        <v>45292</v>
      </c>
      <c r="AC512" s="5">
        <f t="shared" si="167"/>
        <v>45657</v>
      </c>
      <c r="AD512" s="1">
        <v>49</v>
      </c>
      <c r="AE512" s="1">
        <f t="shared" si="168"/>
        <v>366</v>
      </c>
      <c r="AF512" s="1">
        <f t="shared" si="169"/>
        <v>0</v>
      </c>
      <c r="AG512" s="1">
        <f t="shared" si="170"/>
        <v>0</v>
      </c>
      <c r="AH512" s="1">
        <f t="shared" si="171"/>
        <v>0</v>
      </c>
      <c r="AI512" s="1">
        <f t="shared" si="172"/>
        <v>0</v>
      </c>
      <c r="AJ512" s="3">
        <f t="shared" si="173"/>
        <v>1</v>
      </c>
      <c r="AK512" s="3">
        <f t="shared" si="174"/>
        <v>1.1296423658872077</v>
      </c>
      <c r="AL512" s="3">
        <f t="shared" si="175"/>
        <v>55.352475928473176</v>
      </c>
      <c r="AM512" s="3">
        <f t="shared" si="176"/>
        <v>138.38118982118294</v>
      </c>
      <c r="AN512" s="3">
        <f t="shared" si="177"/>
        <v>0</v>
      </c>
      <c r="AO512" s="3">
        <f t="shared" si="178"/>
        <v>138.38118982118294</v>
      </c>
      <c r="AP512" s="1" t="str">
        <f>INDEX({"EAD";"EAD";"EAD";"EAD MOOC";"EAD";"EAD";"EAD FP";"EAD";"PRESENCIAL";"PRESENCIAL";"PRESENCIAL";"PRESENCIAL"}, MATCH(CONCATENATE(E512, ".", F512),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13" spans="1:42" x14ac:dyDescent="0.25">
      <c r="A513" s="1" t="s">
        <v>27</v>
      </c>
      <c r="B513" s="1" t="s">
        <v>43</v>
      </c>
      <c r="C513" s="1" t="s">
        <v>29</v>
      </c>
      <c r="D513" s="1" t="s">
        <v>44</v>
      </c>
      <c r="E513" s="1" t="s">
        <v>120</v>
      </c>
      <c r="F513" s="1" t="s">
        <v>21</v>
      </c>
      <c r="G513" s="1" t="s">
        <v>121</v>
      </c>
      <c r="H513" s="1" t="s">
        <v>495</v>
      </c>
      <c r="I513" s="1" t="s">
        <v>124</v>
      </c>
      <c r="J513" s="1" t="s">
        <v>125</v>
      </c>
      <c r="K513" s="1" t="s">
        <v>109</v>
      </c>
      <c r="L513" s="1">
        <v>2833718</v>
      </c>
      <c r="M513" s="1" t="s">
        <v>723</v>
      </c>
      <c r="N513" s="5">
        <f t="shared" si="181"/>
        <v>44592</v>
      </c>
      <c r="O513" s="5">
        <f>DATE(2025,11,30)</f>
        <v>45991</v>
      </c>
      <c r="P513" s="5">
        <f t="shared" si="159"/>
        <v>47086</v>
      </c>
      <c r="Q513" s="1">
        <v>2587</v>
      </c>
      <c r="R513" s="1">
        <v>2400</v>
      </c>
      <c r="S513" s="1">
        <f t="shared" si="160"/>
        <v>2400</v>
      </c>
      <c r="T513" s="1">
        <v>1</v>
      </c>
      <c r="U513" s="1" t="str">
        <f t="shared" si="161"/>
        <v>SIM</v>
      </c>
      <c r="V513" s="1">
        <f t="shared" si="162"/>
        <v>1400</v>
      </c>
      <c r="W513" s="4">
        <f t="shared" si="163"/>
        <v>1.7142857142857142</v>
      </c>
      <c r="X513" s="4">
        <f t="shared" si="164"/>
        <v>625.71428571428567</v>
      </c>
      <c r="Y513" s="4">
        <f t="shared" si="165"/>
        <v>0.78214285714285703</v>
      </c>
      <c r="AB513" s="5">
        <f t="shared" si="166"/>
        <v>45292</v>
      </c>
      <c r="AC513" s="5">
        <f t="shared" si="167"/>
        <v>45657</v>
      </c>
      <c r="AD513" s="1">
        <v>39</v>
      </c>
      <c r="AE513" s="1">
        <f t="shared" si="168"/>
        <v>366</v>
      </c>
      <c r="AF513" s="1">
        <f t="shared" si="169"/>
        <v>0</v>
      </c>
      <c r="AG513" s="1">
        <f t="shared" si="170"/>
        <v>0</v>
      </c>
      <c r="AH513" s="1">
        <f t="shared" si="171"/>
        <v>0</v>
      </c>
      <c r="AI513" s="1">
        <f t="shared" si="172"/>
        <v>0</v>
      </c>
      <c r="AJ513" s="3">
        <f t="shared" si="173"/>
        <v>1</v>
      </c>
      <c r="AK513" s="3">
        <f t="shared" si="174"/>
        <v>0.78214285714285703</v>
      </c>
      <c r="AL513" s="3">
        <f t="shared" si="175"/>
        <v>30.503571428571423</v>
      </c>
      <c r="AM513" s="3">
        <f t="shared" si="176"/>
        <v>30.503571428571423</v>
      </c>
      <c r="AN513" s="3">
        <f t="shared" si="177"/>
        <v>0</v>
      </c>
      <c r="AO513" s="3">
        <f t="shared" si="178"/>
        <v>30.503571428571423</v>
      </c>
      <c r="AP513" s="1" t="str">
        <f>INDEX({"EAD";"EAD";"EAD";"EAD MOOC";"EAD";"EAD";"EAD FP";"EAD";"PRESENCIAL";"PRESENCIAL";"PRESENCIAL";"PRESENCIAL"}, MATCH(CONCATENATE(E513, ".", F513),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14" spans="1:42" x14ac:dyDescent="0.25">
      <c r="A514" s="1" t="s">
        <v>27</v>
      </c>
      <c r="B514" s="1" t="s">
        <v>43</v>
      </c>
      <c r="C514" s="1" t="s">
        <v>29</v>
      </c>
      <c r="D514" s="1" t="s">
        <v>44</v>
      </c>
      <c r="E514" s="1" t="s">
        <v>120</v>
      </c>
      <c r="F514" s="1" t="s">
        <v>21</v>
      </c>
      <c r="G514" s="1" t="s">
        <v>121</v>
      </c>
      <c r="H514" s="1" t="s">
        <v>537</v>
      </c>
      <c r="I514" s="1" t="s">
        <v>187</v>
      </c>
      <c r="J514" s="1" t="s">
        <v>125</v>
      </c>
      <c r="K514" s="1" t="s">
        <v>109</v>
      </c>
      <c r="L514" s="1">
        <v>2833733</v>
      </c>
      <c r="M514" s="1" t="s">
        <v>724</v>
      </c>
      <c r="N514" s="5">
        <f t="shared" si="181"/>
        <v>44592</v>
      </c>
      <c r="O514" s="5">
        <f>DATE(2025,11,30)</f>
        <v>45991</v>
      </c>
      <c r="P514" s="5">
        <f t="shared" si="159"/>
        <v>47086</v>
      </c>
      <c r="Q514" s="1">
        <v>2600</v>
      </c>
      <c r="R514" s="1">
        <v>2400</v>
      </c>
      <c r="S514" s="1">
        <f t="shared" si="160"/>
        <v>2400</v>
      </c>
      <c r="T514" s="1">
        <v>1</v>
      </c>
      <c r="U514" s="1" t="str">
        <f t="shared" si="161"/>
        <v>SIM</v>
      </c>
      <c r="V514" s="1">
        <f t="shared" si="162"/>
        <v>1400</v>
      </c>
      <c r="W514" s="4">
        <f t="shared" si="163"/>
        <v>1.7142857142857142</v>
      </c>
      <c r="X514" s="4">
        <f t="shared" si="164"/>
        <v>625.71428571428567</v>
      </c>
      <c r="Y514" s="4">
        <f t="shared" si="165"/>
        <v>0.78214285714285703</v>
      </c>
      <c r="AB514" s="5">
        <f t="shared" si="166"/>
        <v>45292</v>
      </c>
      <c r="AC514" s="5">
        <f t="shared" si="167"/>
        <v>45657</v>
      </c>
      <c r="AD514" s="1">
        <v>26</v>
      </c>
      <c r="AE514" s="1">
        <f t="shared" si="168"/>
        <v>366</v>
      </c>
      <c r="AF514" s="1">
        <f t="shared" si="169"/>
        <v>0</v>
      </c>
      <c r="AG514" s="1">
        <f t="shared" si="170"/>
        <v>0</v>
      </c>
      <c r="AH514" s="1">
        <f t="shared" si="171"/>
        <v>0</v>
      </c>
      <c r="AI514" s="1">
        <f t="shared" si="172"/>
        <v>0</v>
      </c>
      <c r="AJ514" s="3">
        <f t="shared" si="173"/>
        <v>1</v>
      </c>
      <c r="AK514" s="3">
        <f t="shared" si="174"/>
        <v>0.78214285714285703</v>
      </c>
      <c r="AL514" s="3">
        <f t="shared" si="175"/>
        <v>20.335714285714282</v>
      </c>
      <c r="AM514" s="3">
        <f t="shared" si="176"/>
        <v>20.335714285714282</v>
      </c>
      <c r="AN514" s="3">
        <f t="shared" si="177"/>
        <v>0</v>
      </c>
      <c r="AO514" s="3">
        <f t="shared" si="178"/>
        <v>20.335714285714282</v>
      </c>
      <c r="AP514" s="1" t="str">
        <f>INDEX({"EAD";"EAD";"EAD";"EAD MOOC";"EAD";"EAD";"EAD FP";"EAD";"PRESENCIAL";"PRESENCIAL";"PRESENCIAL";"PRESENCIAL"}, MATCH(CONCATENATE(E514, ".", F514),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15" spans="1:42" x14ac:dyDescent="0.25">
      <c r="A515" s="1" t="s">
        <v>27</v>
      </c>
      <c r="B515" s="1" t="s">
        <v>43</v>
      </c>
      <c r="C515" s="1" t="s">
        <v>29</v>
      </c>
      <c r="D515" s="1" t="s">
        <v>44</v>
      </c>
      <c r="E515" s="1" t="s">
        <v>120</v>
      </c>
      <c r="F515" s="1" t="s">
        <v>21</v>
      </c>
      <c r="G515" s="1" t="s">
        <v>278</v>
      </c>
      <c r="H515" s="1" t="s">
        <v>629</v>
      </c>
      <c r="I515" s="1" t="s">
        <v>172</v>
      </c>
      <c r="J515" s="1" t="s">
        <v>125</v>
      </c>
      <c r="K515" s="1" t="s">
        <v>109</v>
      </c>
      <c r="L515" s="1">
        <v>2838023</v>
      </c>
      <c r="M515" s="1" t="s">
        <v>725</v>
      </c>
      <c r="N515" s="5">
        <f t="shared" si="181"/>
        <v>44592</v>
      </c>
      <c r="O515" s="5">
        <f>DATE(2025,12,23)</f>
        <v>46014</v>
      </c>
      <c r="P515" s="5">
        <f t="shared" si="159"/>
        <v>47109</v>
      </c>
      <c r="Q515" s="1">
        <v>3231</v>
      </c>
      <c r="R515" s="1">
        <v>3200</v>
      </c>
      <c r="S515" s="1">
        <f t="shared" si="160"/>
        <v>3200</v>
      </c>
      <c r="T515" s="1">
        <v>2.5</v>
      </c>
      <c r="U515" s="1" t="str">
        <f t="shared" si="161"/>
        <v>SIM</v>
      </c>
      <c r="V515" s="1">
        <f t="shared" si="162"/>
        <v>1423</v>
      </c>
      <c r="W515" s="4">
        <f t="shared" si="163"/>
        <v>2.2487702037947996</v>
      </c>
      <c r="X515" s="4">
        <f t="shared" si="164"/>
        <v>820.80112438510184</v>
      </c>
      <c r="Y515" s="4">
        <f t="shared" si="165"/>
        <v>1.0260014054813773</v>
      </c>
      <c r="AB515" s="5">
        <f t="shared" si="166"/>
        <v>45292</v>
      </c>
      <c r="AC515" s="5">
        <f t="shared" si="167"/>
        <v>45657</v>
      </c>
      <c r="AD515" s="1">
        <v>45</v>
      </c>
      <c r="AE515" s="1">
        <f t="shared" si="168"/>
        <v>366</v>
      </c>
      <c r="AF515" s="1">
        <f t="shared" si="169"/>
        <v>0</v>
      </c>
      <c r="AG515" s="1">
        <f t="shared" si="170"/>
        <v>0</v>
      </c>
      <c r="AH515" s="1">
        <f t="shared" si="171"/>
        <v>0</v>
      </c>
      <c r="AI515" s="1">
        <f t="shared" si="172"/>
        <v>0</v>
      </c>
      <c r="AJ515" s="3">
        <f t="shared" si="173"/>
        <v>1</v>
      </c>
      <c r="AK515" s="3">
        <f t="shared" si="174"/>
        <v>1.0260014054813773</v>
      </c>
      <c r="AL515" s="3">
        <f t="shared" si="175"/>
        <v>46.170063246661982</v>
      </c>
      <c r="AM515" s="3">
        <f t="shared" si="176"/>
        <v>115.42515811665496</v>
      </c>
      <c r="AN515" s="3">
        <f t="shared" si="177"/>
        <v>0</v>
      </c>
      <c r="AO515" s="3">
        <f t="shared" si="178"/>
        <v>115.42515811665496</v>
      </c>
      <c r="AP515" s="1" t="str">
        <f>INDEX({"EAD";"EAD";"EAD";"EAD MOOC";"EAD";"EAD";"EAD FP";"EAD";"PRESENCIAL";"PRESENCIAL";"PRESENCIAL";"PRESENCIAL"}, MATCH(CONCATENATE(E515, ".", F515),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16" spans="1:42" x14ac:dyDescent="0.25">
      <c r="A516" s="1" t="s">
        <v>27</v>
      </c>
      <c r="B516" s="1" t="s">
        <v>43</v>
      </c>
      <c r="C516" s="1" t="s">
        <v>29</v>
      </c>
      <c r="D516" s="1" t="s">
        <v>44</v>
      </c>
      <c r="E516" s="1" t="s">
        <v>120</v>
      </c>
      <c r="F516" s="1" t="s">
        <v>21</v>
      </c>
      <c r="G516" s="1" t="s">
        <v>665</v>
      </c>
      <c r="H516" s="1" t="s">
        <v>666</v>
      </c>
      <c r="I516" s="1" t="s">
        <v>172</v>
      </c>
      <c r="J516" s="1" t="s">
        <v>125</v>
      </c>
      <c r="K516" s="1" t="s">
        <v>109</v>
      </c>
      <c r="L516" s="1">
        <v>2843380</v>
      </c>
      <c r="M516" s="1" t="s">
        <v>726</v>
      </c>
      <c r="N516" s="5">
        <f>DATE(2022,3,3)</f>
        <v>44623</v>
      </c>
      <c r="O516" s="5">
        <f>DATE(2024,3,1)</f>
        <v>45352</v>
      </c>
      <c r="P516" s="5">
        <f t="shared" ref="P516:P579" si="182">IF(G516="QUALIFICACAO PROFISSIONAL (FIC)",O516,O516+1095)</f>
        <v>46447</v>
      </c>
      <c r="Q516" s="1">
        <v>480</v>
      </c>
      <c r="R516" s="1">
        <v>360</v>
      </c>
      <c r="S516" s="1">
        <f t="shared" ref="S516:S579" si="183">IF(OR(G516="QUALIFICACAO PROFISSIONAL (FIC)",G516="DOUTORADO"),Q516,    IF(ISNUMBER(FIND("PROEJA",K516)),2400,        IF(K516="INTEGRADO",            IF(R516=800,3000,                IF(R516=1000,3100,                    IF(R516=1200,3200,R516)                )            ),            R516        )    ))</f>
        <v>360</v>
      </c>
      <c r="T516" s="1">
        <v>3.75</v>
      </c>
      <c r="U516" s="1" t="str">
        <f t="shared" ref="U516:U579" si="184">IF(P516&lt;AB516,"NÃO","SIM")</f>
        <v>SIM</v>
      </c>
      <c r="V516" s="1">
        <f t="shared" ref="V516:V579" si="185">O516-N516+1</f>
        <v>730</v>
      </c>
      <c r="W516" s="4">
        <f t="shared" ref="W516:W579" si="186">IF(S516&gt;Q516,Q516,S516)/V516</f>
        <v>0.49315068493150682</v>
      </c>
      <c r="X516" s="4">
        <f t="shared" ref="X516:X579" si="187">IF(V516&gt;365,W516*365,S516)</f>
        <v>180</v>
      </c>
      <c r="Y516" s="4">
        <f t="shared" ref="Y516:Y579" si="188">IF(V516&gt;365,X516/800,S516/800)</f>
        <v>0.22500000000000001</v>
      </c>
      <c r="AB516" s="5">
        <f t="shared" ref="AB516:AB579" si="189">DATE(2024,1,1)</f>
        <v>45292</v>
      </c>
      <c r="AC516" s="5">
        <f t="shared" ref="AC516:AC579" si="190">DATE(2024,12,31)</f>
        <v>45657</v>
      </c>
      <c r="AD516" s="1">
        <v>50</v>
      </c>
      <c r="AE516" s="1">
        <f t="shared" ref="AE516:AE579" si="191">IF(AND(N516&lt;AB516,O516&gt;AC516),AC516-AB516+1,0)</f>
        <v>0</v>
      </c>
      <c r="AF516" s="1">
        <f t="shared" ref="AF516:AF579" si="192">IF(AND(N516&gt;=AB516,O516&gt;AC516,N516&lt;AC516),AC516-N516+1,0)</f>
        <v>0</v>
      </c>
      <c r="AG516" s="1">
        <f t="shared" ref="AG516:AG579" si="193">IF(AND(N516&lt;AB516,O516&lt;=AC516,O516&gt;=AB516),O516-AB516+1,0)</f>
        <v>61</v>
      </c>
      <c r="AH516" s="1">
        <f t="shared" ref="AH516:AH579" si="194">IF(AND(N516&gt;=AB516,O516&lt;=AC516),O516-N516+1,0)</f>
        <v>0</v>
      </c>
      <c r="AI516" s="1">
        <f t="shared" ref="AI516:AI579" si="195">IF(AND(N516&lt;AB516,O516&lt;AB516),(AC516-AB516+1)/2,0)</f>
        <v>0</v>
      </c>
      <c r="AJ516" s="3">
        <f t="shared" ref="AJ516:AJ579" si="196">SUM(AE516:AI516)/IF(V516&gt;=365,AC516-AB516+1,V516)</f>
        <v>0.16666666666666666</v>
      </c>
      <c r="AK516" s="3">
        <f t="shared" ref="AK516:AK579" si="197">Y516*AJ516</f>
        <v>3.7499999999999999E-2</v>
      </c>
      <c r="AL516" s="3">
        <f t="shared" ref="AL516:AL579" si="198">IF(AI516=0,AK516*AD516,IF(U516="SIM",AK516*(AD516/2),0))</f>
        <v>1.875</v>
      </c>
      <c r="AM516" s="3">
        <f t="shared" ref="AM516:AM579" si="199">AL516*T516</f>
        <v>7.03125</v>
      </c>
      <c r="AN516" s="3">
        <f t="shared" ref="AN516:AN579" si="200">IF(J516="SIM",AM516*50%,0)</f>
        <v>0</v>
      </c>
      <c r="AO516" s="3">
        <f t="shared" ref="AO516:AO579" si="201">IF(U516="SIM",AM516+AN516,0)</f>
        <v>7.03125</v>
      </c>
      <c r="AP516" s="1" t="str">
        <f>INDEX({"EAD";"EAD";"EAD";"EAD MOOC";"EAD";"EAD";"EAD FP";"EAD";"PRESENCIAL";"PRESENCIAL";"PRESENCIAL";"PRESENCIAL"}, MATCH(CONCATENATE(E516, ".", F516),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17" spans="1:42" x14ac:dyDescent="0.25">
      <c r="A517" s="1" t="s">
        <v>27</v>
      </c>
      <c r="B517" s="1" t="s">
        <v>43</v>
      </c>
      <c r="C517" s="1" t="s">
        <v>29</v>
      </c>
      <c r="D517" s="1" t="s">
        <v>44</v>
      </c>
      <c r="E517" s="1" t="s">
        <v>120</v>
      </c>
      <c r="F517" s="1" t="s">
        <v>21</v>
      </c>
      <c r="G517" s="1" t="s">
        <v>727</v>
      </c>
      <c r="H517" s="1" t="s">
        <v>728</v>
      </c>
      <c r="I517" s="1" t="s">
        <v>172</v>
      </c>
      <c r="J517" s="1" t="s">
        <v>125</v>
      </c>
      <c r="K517" s="1" t="s">
        <v>109</v>
      </c>
      <c r="L517" s="1">
        <v>2855894</v>
      </c>
      <c r="M517" s="1" t="s">
        <v>729</v>
      </c>
      <c r="N517" s="5">
        <f>DATE(2022,3,8)</f>
        <v>44628</v>
      </c>
      <c r="O517" s="5">
        <f>DATE(2024,3,6)</f>
        <v>45357</v>
      </c>
      <c r="P517" s="5">
        <f t="shared" si="182"/>
        <v>46452</v>
      </c>
      <c r="Q517" s="1">
        <v>480</v>
      </c>
      <c r="R517" s="1">
        <v>360</v>
      </c>
      <c r="S517" s="1">
        <f t="shared" si="183"/>
        <v>360</v>
      </c>
      <c r="T517" s="1">
        <v>3.75</v>
      </c>
      <c r="U517" s="1" t="str">
        <f t="shared" si="184"/>
        <v>SIM</v>
      </c>
      <c r="V517" s="1">
        <f t="shared" si="185"/>
        <v>730</v>
      </c>
      <c r="W517" s="4">
        <f t="shared" si="186"/>
        <v>0.49315068493150682</v>
      </c>
      <c r="X517" s="4">
        <f t="shared" si="187"/>
        <v>180</v>
      </c>
      <c r="Y517" s="4">
        <f t="shared" si="188"/>
        <v>0.22500000000000001</v>
      </c>
      <c r="AB517" s="5">
        <f t="shared" si="189"/>
        <v>45292</v>
      </c>
      <c r="AC517" s="5">
        <f t="shared" si="190"/>
        <v>45657</v>
      </c>
      <c r="AD517" s="1">
        <v>19</v>
      </c>
      <c r="AE517" s="1">
        <f t="shared" si="191"/>
        <v>0</v>
      </c>
      <c r="AF517" s="1">
        <f t="shared" si="192"/>
        <v>0</v>
      </c>
      <c r="AG517" s="1">
        <f t="shared" si="193"/>
        <v>66</v>
      </c>
      <c r="AH517" s="1">
        <f t="shared" si="194"/>
        <v>0</v>
      </c>
      <c r="AI517" s="1">
        <f t="shared" si="195"/>
        <v>0</v>
      </c>
      <c r="AJ517" s="3">
        <f t="shared" si="196"/>
        <v>0.18032786885245902</v>
      </c>
      <c r="AK517" s="3">
        <f t="shared" si="197"/>
        <v>4.0573770491803281E-2</v>
      </c>
      <c r="AL517" s="3">
        <f t="shared" si="198"/>
        <v>0.77090163934426237</v>
      </c>
      <c r="AM517" s="3">
        <f t="shared" si="199"/>
        <v>2.8908811475409837</v>
      </c>
      <c r="AN517" s="3">
        <f t="shared" si="200"/>
        <v>0</v>
      </c>
      <c r="AO517" s="3">
        <f t="shared" si="201"/>
        <v>2.8908811475409837</v>
      </c>
      <c r="AP517" s="1" t="str">
        <f>INDEX({"EAD";"EAD";"EAD";"EAD MOOC";"EAD";"EAD";"EAD FP";"EAD";"PRESENCIAL";"PRESENCIAL";"PRESENCIAL";"PRESENCIAL"}, MATCH(CONCATENATE(E517, ".", F517),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18" spans="1:42" x14ac:dyDescent="0.25">
      <c r="A518" s="1" t="s">
        <v>27</v>
      </c>
      <c r="B518" s="1" t="s">
        <v>43</v>
      </c>
      <c r="C518" s="1" t="s">
        <v>29</v>
      </c>
      <c r="D518" s="1" t="s">
        <v>44</v>
      </c>
      <c r="E518" s="1" t="s">
        <v>120</v>
      </c>
      <c r="F518" s="1" t="s">
        <v>21</v>
      </c>
      <c r="G518" s="1" t="s">
        <v>128</v>
      </c>
      <c r="H518" s="1" t="s">
        <v>582</v>
      </c>
      <c r="I518" s="1" t="s">
        <v>289</v>
      </c>
      <c r="J518" s="1" t="s">
        <v>125</v>
      </c>
      <c r="K518" s="1" t="s">
        <v>163</v>
      </c>
      <c r="L518" s="1">
        <v>2885337</v>
      </c>
      <c r="M518" s="1" t="s">
        <v>730</v>
      </c>
      <c r="N518" s="5">
        <f t="shared" ref="N518:N531" si="202">DATE(2022,7,18)</f>
        <v>44760</v>
      </c>
      <c r="O518" s="5">
        <f>DATE(2024,6,15)</f>
        <v>45458</v>
      </c>
      <c r="P518" s="5">
        <f t="shared" si="182"/>
        <v>46553</v>
      </c>
      <c r="Q518" s="1">
        <v>1258</v>
      </c>
      <c r="R518" s="1">
        <v>1200</v>
      </c>
      <c r="S518" s="1">
        <f t="shared" si="183"/>
        <v>1200</v>
      </c>
      <c r="T518" s="1">
        <v>2.5</v>
      </c>
      <c r="U518" s="1" t="str">
        <f t="shared" si="184"/>
        <v>SIM</v>
      </c>
      <c r="V518" s="1">
        <f t="shared" si="185"/>
        <v>699</v>
      </c>
      <c r="W518" s="4">
        <f t="shared" si="186"/>
        <v>1.7167381974248928</v>
      </c>
      <c r="X518" s="4">
        <f t="shared" si="187"/>
        <v>626.60944206008583</v>
      </c>
      <c r="Y518" s="4">
        <f t="shared" si="188"/>
        <v>0.78326180257510725</v>
      </c>
      <c r="AB518" s="5">
        <f t="shared" si="189"/>
        <v>45292</v>
      </c>
      <c r="AC518" s="5">
        <f t="shared" si="190"/>
        <v>45657</v>
      </c>
      <c r="AD518" s="1">
        <v>22</v>
      </c>
      <c r="AE518" s="1">
        <f t="shared" si="191"/>
        <v>0</v>
      </c>
      <c r="AF518" s="1">
        <f t="shared" si="192"/>
        <v>0</v>
      </c>
      <c r="AG518" s="1">
        <f t="shared" si="193"/>
        <v>167</v>
      </c>
      <c r="AH518" s="1">
        <f t="shared" si="194"/>
        <v>0</v>
      </c>
      <c r="AI518" s="1">
        <f t="shared" si="195"/>
        <v>0</v>
      </c>
      <c r="AJ518" s="3">
        <f t="shared" si="196"/>
        <v>0.45628415300546449</v>
      </c>
      <c r="AK518" s="3">
        <f t="shared" si="197"/>
        <v>0.35738994816951614</v>
      </c>
      <c r="AL518" s="3">
        <f t="shared" si="198"/>
        <v>7.8625788597293553</v>
      </c>
      <c r="AM518" s="3">
        <f t="shared" si="199"/>
        <v>19.656447149323387</v>
      </c>
      <c r="AN518" s="3">
        <f t="shared" si="200"/>
        <v>0</v>
      </c>
      <c r="AO518" s="3">
        <f t="shared" si="201"/>
        <v>19.656447149323387</v>
      </c>
      <c r="AP518" s="1" t="str">
        <f>INDEX({"EAD";"EAD";"EAD";"EAD MOOC";"EAD";"EAD";"EAD FP";"EAD";"PRESENCIAL";"PRESENCIAL";"PRESENCIAL";"PRESENCIAL"}, MATCH(CONCATENATE(E518, ".", F518),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19" spans="1:42" x14ac:dyDescent="0.25">
      <c r="A519" s="1" t="s">
        <v>27</v>
      </c>
      <c r="B519" s="1" t="s">
        <v>43</v>
      </c>
      <c r="C519" s="1" t="s">
        <v>29</v>
      </c>
      <c r="D519" s="1" t="s">
        <v>44</v>
      </c>
      <c r="E519" s="1" t="s">
        <v>120</v>
      </c>
      <c r="F519" s="1" t="s">
        <v>21</v>
      </c>
      <c r="G519" s="1" t="s">
        <v>128</v>
      </c>
      <c r="H519" s="1" t="s">
        <v>559</v>
      </c>
      <c r="I519" s="1" t="s">
        <v>289</v>
      </c>
      <c r="J519" s="1" t="s">
        <v>125</v>
      </c>
      <c r="K519" s="1" t="s">
        <v>163</v>
      </c>
      <c r="L519" s="1">
        <v>2885338</v>
      </c>
      <c r="M519" s="1" t="s">
        <v>731</v>
      </c>
      <c r="N519" s="5">
        <f t="shared" si="202"/>
        <v>44760</v>
      </c>
      <c r="O519" s="5">
        <f>DATE(2024,6,15)</f>
        <v>45458</v>
      </c>
      <c r="P519" s="5">
        <f t="shared" si="182"/>
        <v>46553</v>
      </c>
      <c r="Q519" s="1">
        <v>1394</v>
      </c>
      <c r="R519" s="1">
        <v>1200</v>
      </c>
      <c r="S519" s="1">
        <f t="shared" si="183"/>
        <v>1200</v>
      </c>
      <c r="T519" s="1">
        <v>2.5</v>
      </c>
      <c r="U519" s="1" t="str">
        <f t="shared" si="184"/>
        <v>SIM</v>
      </c>
      <c r="V519" s="1">
        <f t="shared" si="185"/>
        <v>699</v>
      </c>
      <c r="W519" s="4">
        <f t="shared" si="186"/>
        <v>1.7167381974248928</v>
      </c>
      <c r="X519" s="4">
        <f t="shared" si="187"/>
        <v>626.60944206008583</v>
      </c>
      <c r="Y519" s="4">
        <f t="shared" si="188"/>
        <v>0.78326180257510725</v>
      </c>
      <c r="AB519" s="5">
        <f t="shared" si="189"/>
        <v>45292</v>
      </c>
      <c r="AC519" s="5">
        <f t="shared" si="190"/>
        <v>45657</v>
      </c>
      <c r="AD519" s="1">
        <v>20</v>
      </c>
      <c r="AE519" s="1">
        <f t="shared" si="191"/>
        <v>0</v>
      </c>
      <c r="AF519" s="1">
        <f t="shared" si="192"/>
        <v>0</v>
      </c>
      <c r="AG519" s="1">
        <f t="shared" si="193"/>
        <v>167</v>
      </c>
      <c r="AH519" s="1">
        <f t="shared" si="194"/>
        <v>0</v>
      </c>
      <c r="AI519" s="1">
        <f t="shared" si="195"/>
        <v>0</v>
      </c>
      <c r="AJ519" s="3">
        <f t="shared" si="196"/>
        <v>0.45628415300546449</v>
      </c>
      <c r="AK519" s="3">
        <f t="shared" si="197"/>
        <v>0.35738994816951614</v>
      </c>
      <c r="AL519" s="3">
        <f t="shared" si="198"/>
        <v>7.1477989633903229</v>
      </c>
      <c r="AM519" s="3">
        <f t="shared" si="199"/>
        <v>17.869497408475809</v>
      </c>
      <c r="AN519" s="3">
        <f t="shared" si="200"/>
        <v>0</v>
      </c>
      <c r="AO519" s="3">
        <f t="shared" si="201"/>
        <v>17.869497408475809</v>
      </c>
      <c r="AP519" s="1" t="str">
        <f>INDEX({"EAD";"EAD";"EAD";"EAD MOOC";"EAD";"EAD";"EAD FP";"EAD";"PRESENCIAL";"PRESENCIAL";"PRESENCIAL";"PRESENCIAL"}, MATCH(CONCATENATE(E519, ".", F519),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20" spans="1:42" x14ac:dyDescent="0.25">
      <c r="A520" s="1" t="s">
        <v>27</v>
      </c>
      <c r="B520" s="1" t="s">
        <v>43</v>
      </c>
      <c r="C520" s="1" t="s">
        <v>29</v>
      </c>
      <c r="D520" s="1" t="s">
        <v>44</v>
      </c>
      <c r="E520" s="1" t="s">
        <v>120</v>
      </c>
      <c r="F520" s="1" t="s">
        <v>21</v>
      </c>
      <c r="G520" s="1" t="s">
        <v>128</v>
      </c>
      <c r="H520" s="1" t="s">
        <v>526</v>
      </c>
      <c r="I520" s="1" t="s">
        <v>503</v>
      </c>
      <c r="J520" s="1" t="s">
        <v>125</v>
      </c>
      <c r="K520" s="1" t="s">
        <v>163</v>
      </c>
      <c r="L520" s="1">
        <v>2885340</v>
      </c>
      <c r="M520" s="1" t="s">
        <v>732</v>
      </c>
      <c r="N520" s="5">
        <f t="shared" si="202"/>
        <v>44760</v>
      </c>
      <c r="O520" s="5">
        <f>DATE(2024,6,15)</f>
        <v>45458</v>
      </c>
      <c r="P520" s="5">
        <f t="shared" si="182"/>
        <v>46553</v>
      </c>
      <c r="Q520" s="1">
        <v>1707</v>
      </c>
      <c r="R520" s="1">
        <v>1200</v>
      </c>
      <c r="S520" s="1">
        <f t="shared" si="183"/>
        <v>1200</v>
      </c>
      <c r="T520" s="1">
        <v>2.5</v>
      </c>
      <c r="U520" s="1" t="str">
        <f t="shared" si="184"/>
        <v>SIM</v>
      </c>
      <c r="V520" s="1">
        <f t="shared" si="185"/>
        <v>699</v>
      </c>
      <c r="W520" s="4">
        <f t="shared" si="186"/>
        <v>1.7167381974248928</v>
      </c>
      <c r="X520" s="4">
        <f t="shared" si="187"/>
        <v>626.60944206008583</v>
      </c>
      <c r="Y520" s="4">
        <f t="shared" si="188"/>
        <v>0.78326180257510725</v>
      </c>
      <c r="AB520" s="5">
        <f t="shared" si="189"/>
        <v>45292</v>
      </c>
      <c r="AC520" s="5">
        <f t="shared" si="190"/>
        <v>45657</v>
      </c>
      <c r="AD520" s="1">
        <v>19</v>
      </c>
      <c r="AE520" s="1">
        <f t="shared" si="191"/>
        <v>0</v>
      </c>
      <c r="AF520" s="1">
        <f t="shared" si="192"/>
        <v>0</v>
      </c>
      <c r="AG520" s="1">
        <f t="shared" si="193"/>
        <v>167</v>
      </c>
      <c r="AH520" s="1">
        <f t="shared" si="194"/>
        <v>0</v>
      </c>
      <c r="AI520" s="1">
        <f t="shared" si="195"/>
        <v>0</v>
      </c>
      <c r="AJ520" s="3">
        <f t="shared" si="196"/>
        <v>0.45628415300546449</v>
      </c>
      <c r="AK520" s="3">
        <f t="shared" si="197"/>
        <v>0.35738994816951614</v>
      </c>
      <c r="AL520" s="3">
        <f t="shared" si="198"/>
        <v>6.7904090152208063</v>
      </c>
      <c r="AM520" s="3">
        <f t="shared" si="199"/>
        <v>16.976022538052014</v>
      </c>
      <c r="AN520" s="3">
        <f t="shared" si="200"/>
        <v>0</v>
      </c>
      <c r="AO520" s="3">
        <f t="shared" si="201"/>
        <v>16.976022538052014</v>
      </c>
      <c r="AP520" s="1" t="str">
        <f>INDEX({"EAD";"EAD";"EAD";"EAD MOOC";"EAD";"EAD";"EAD FP";"EAD";"PRESENCIAL";"PRESENCIAL";"PRESENCIAL";"PRESENCIAL"}, MATCH(CONCATENATE(E520, ".", F520),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21" spans="1:42" x14ac:dyDescent="0.25">
      <c r="A521" s="1" t="s">
        <v>27</v>
      </c>
      <c r="B521" s="1" t="s">
        <v>43</v>
      </c>
      <c r="C521" s="1" t="s">
        <v>29</v>
      </c>
      <c r="D521" s="1" t="s">
        <v>44</v>
      </c>
      <c r="E521" s="1" t="s">
        <v>120</v>
      </c>
      <c r="F521" s="1" t="s">
        <v>21</v>
      </c>
      <c r="G521" s="1" t="s">
        <v>128</v>
      </c>
      <c r="H521" s="1" t="s">
        <v>586</v>
      </c>
      <c r="I521" s="1" t="s">
        <v>503</v>
      </c>
      <c r="J521" s="1" t="s">
        <v>125</v>
      </c>
      <c r="K521" s="1" t="s">
        <v>163</v>
      </c>
      <c r="L521" s="1">
        <v>2885342</v>
      </c>
      <c r="M521" s="1" t="s">
        <v>733</v>
      </c>
      <c r="N521" s="5">
        <f t="shared" si="202"/>
        <v>44760</v>
      </c>
      <c r="O521" s="5">
        <f>DATE(2024,6,15)</f>
        <v>45458</v>
      </c>
      <c r="P521" s="5">
        <f t="shared" si="182"/>
        <v>46553</v>
      </c>
      <c r="Q521" s="1">
        <v>1707</v>
      </c>
      <c r="R521" s="1">
        <v>1200</v>
      </c>
      <c r="S521" s="1">
        <f t="shared" si="183"/>
        <v>1200</v>
      </c>
      <c r="T521" s="1">
        <v>2.5</v>
      </c>
      <c r="U521" s="1" t="str">
        <f t="shared" si="184"/>
        <v>SIM</v>
      </c>
      <c r="V521" s="1">
        <f t="shared" si="185"/>
        <v>699</v>
      </c>
      <c r="W521" s="4">
        <f t="shared" si="186"/>
        <v>1.7167381974248928</v>
      </c>
      <c r="X521" s="4">
        <f t="shared" si="187"/>
        <v>626.60944206008583</v>
      </c>
      <c r="Y521" s="4">
        <f t="shared" si="188"/>
        <v>0.78326180257510725</v>
      </c>
      <c r="AB521" s="5">
        <f t="shared" si="189"/>
        <v>45292</v>
      </c>
      <c r="AC521" s="5">
        <f t="shared" si="190"/>
        <v>45657</v>
      </c>
      <c r="AD521" s="1">
        <v>21</v>
      </c>
      <c r="AE521" s="1">
        <f t="shared" si="191"/>
        <v>0</v>
      </c>
      <c r="AF521" s="1">
        <f t="shared" si="192"/>
        <v>0</v>
      </c>
      <c r="AG521" s="1">
        <f t="shared" si="193"/>
        <v>167</v>
      </c>
      <c r="AH521" s="1">
        <f t="shared" si="194"/>
        <v>0</v>
      </c>
      <c r="AI521" s="1">
        <f t="shared" si="195"/>
        <v>0</v>
      </c>
      <c r="AJ521" s="3">
        <f t="shared" si="196"/>
        <v>0.45628415300546449</v>
      </c>
      <c r="AK521" s="3">
        <f t="shared" si="197"/>
        <v>0.35738994816951614</v>
      </c>
      <c r="AL521" s="3">
        <f t="shared" si="198"/>
        <v>7.5051889115598387</v>
      </c>
      <c r="AM521" s="3">
        <f t="shared" si="199"/>
        <v>18.762972278899596</v>
      </c>
      <c r="AN521" s="3">
        <f t="shared" si="200"/>
        <v>0</v>
      </c>
      <c r="AO521" s="3">
        <f t="shared" si="201"/>
        <v>18.762972278899596</v>
      </c>
      <c r="AP521" s="1" t="str">
        <f>INDEX({"EAD";"EAD";"EAD";"EAD MOOC";"EAD";"EAD";"EAD FP";"EAD";"PRESENCIAL";"PRESENCIAL";"PRESENCIAL";"PRESENCIAL"}, MATCH(CONCATENATE(E521, ".", F521),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22" spans="1:42" x14ac:dyDescent="0.25">
      <c r="A522" s="1" t="s">
        <v>27</v>
      </c>
      <c r="B522" s="1" t="s">
        <v>43</v>
      </c>
      <c r="C522" s="1" t="s">
        <v>29</v>
      </c>
      <c r="D522" s="1" t="s">
        <v>44</v>
      </c>
      <c r="E522" s="1" t="s">
        <v>120</v>
      </c>
      <c r="F522" s="1" t="s">
        <v>21</v>
      </c>
      <c r="G522" s="1" t="s">
        <v>121</v>
      </c>
      <c r="H522" s="1" t="s">
        <v>506</v>
      </c>
      <c r="I522" s="1" t="s">
        <v>209</v>
      </c>
      <c r="J522" s="1" t="s">
        <v>125</v>
      </c>
      <c r="K522" s="1" t="s">
        <v>109</v>
      </c>
      <c r="L522" s="1">
        <v>2885580</v>
      </c>
      <c r="M522" s="1" t="s">
        <v>734</v>
      </c>
      <c r="N522" s="5">
        <f t="shared" si="202"/>
        <v>44760</v>
      </c>
      <c r="O522" s="5">
        <f>DATE(2027,6,18)</f>
        <v>46556</v>
      </c>
      <c r="P522" s="5">
        <f t="shared" si="182"/>
        <v>47651</v>
      </c>
      <c r="Q522" s="1">
        <v>4460</v>
      </c>
      <c r="R522" s="1">
        <v>3200</v>
      </c>
      <c r="S522" s="1">
        <f t="shared" si="183"/>
        <v>3200</v>
      </c>
      <c r="T522" s="1">
        <v>2.5</v>
      </c>
      <c r="U522" s="1" t="str">
        <f t="shared" si="184"/>
        <v>SIM</v>
      </c>
      <c r="V522" s="1">
        <f t="shared" si="185"/>
        <v>1797</v>
      </c>
      <c r="W522" s="4">
        <f t="shared" si="186"/>
        <v>1.7807456872565386</v>
      </c>
      <c r="X522" s="4">
        <f t="shared" si="187"/>
        <v>649.97217584863654</v>
      </c>
      <c r="Y522" s="4">
        <f t="shared" si="188"/>
        <v>0.81246521981079567</v>
      </c>
      <c r="AB522" s="5">
        <f t="shared" si="189"/>
        <v>45292</v>
      </c>
      <c r="AC522" s="5">
        <f t="shared" si="190"/>
        <v>45657</v>
      </c>
      <c r="AD522" s="1">
        <v>32</v>
      </c>
      <c r="AE522" s="1">
        <f t="shared" si="191"/>
        <v>366</v>
      </c>
      <c r="AF522" s="1">
        <f t="shared" si="192"/>
        <v>0</v>
      </c>
      <c r="AG522" s="1">
        <f t="shared" si="193"/>
        <v>0</v>
      </c>
      <c r="AH522" s="1">
        <f t="shared" si="194"/>
        <v>0</v>
      </c>
      <c r="AI522" s="1">
        <f t="shared" si="195"/>
        <v>0</v>
      </c>
      <c r="AJ522" s="3">
        <f t="shared" si="196"/>
        <v>1</v>
      </c>
      <c r="AK522" s="3">
        <f t="shared" si="197"/>
        <v>0.81246521981079567</v>
      </c>
      <c r="AL522" s="3">
        <f t="shared" si="198"/>
        <v>25.998887033945461</v>
      </c>
      <c r="AM522" s="3">
        <f t="shared" si="199"/>
        <v>64.997217584863648</v>
      </c>
      <c r="AN522" s="3">
        <f t="shared" si="200"/>
        <v>0</v>
      </c>
      <c r="AO522" s="3">
        <f t="shared" si="201"/>
        <v>64.997217584863648</v>
      </c>
      <c r="AP522" s="1" t="str">
        <f>INDEX({"EAD";"EAD";"EAD";"EAD MOOC";"EAD";"EAD";"EAD FP";"EAD";"PRESENCIAL";"PRESENCIAL";"PRESENCIAL";"PRESENCIAL"}, MATCH(CONCATENATE(E522, ".", F522),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23" spans="1:42" x14ac:dyDescent="0.25">
      <c r="A523" s="1" t="s">
        <v>27</v>
      </c>
      <c r="B523" s="1" t="s">
        <v>43</v>
      </c>
      <c r="C523" s="1" t="s">
        <v>29</v>
      </c>
      <c r="D523" s="1" t="s">
        <v>44</v>
      </c>
      <c r="E523" s="1" t="s">
        <v>120</v>
      </c>
      <c r="F523" s="1" t="s">
        <v>21</v>
      </c>
      <c r="G523" s="1" t="s">
        <v>121</v>
      </c>
      <c r="H523" s="1" t="s">
        <v>508</v>
      </c>
      <c r="I523" s="1" t="s">
        <v>503</v>
      </c>
      <c r="J523" s="1" t="s">
        <v>125</v>
      </c>
      <c r="K523" s="1" t="s">
        <v>109</v>
      </c>
      <c r="L523" s="1">
        <v>2885584</v>
      </c>
      <c r="M523" s="1" t="s">
        <v>735</v>
      </c>
      <c r="N523" s="5">
        <f t="shared" si="202"/>
        <v>44760</v>
      </c>
      <c r="O523" s="5">
        <f>DATE(2027,6,18)</f>
        <v>46556</v>
      </c>
      <c r="P523" s="5">
        <f t="shared" si="182"/>
        <v>47651</v>
      </c>
      <c r="Q523" s="1">
        <v>4430</v>
      </c>
      <c r="R523" s="1">
        <v>3600</v>
      </c>
      <c r="S523" s="1">
        <f t="shared" si="183"/>
        <v>3600</v>
      </c>
      <c r="T523" s="1">
        <v>2.5</v>
      </c>
      <c r="U523" s="1" t="str">
        <f t="shared" si="184"/>
        <v>SIM</v>
      </c>
      <c r="V523" s="1">
        <f t="shared" si="185"/>
        <v>1797</v>
      </c>
      <c r="W523" s="4">
        <f t="shared" si="186"/>
        <v>2.003338898163606</v>
      </c>
      <c r="X523" s="4">
        <f t="shared" si="187"/>
        <v>731.21869782971623</v>
      </c>
      <c r="Y523" s="4">
        <f t="shared" si="188"/>
        <v>0.91402337228714525</v>
      </c>
      <c r="AB523" s="5">
        <f t="shared" si="189"/>
        <v>45292</v>
      </c>
      <c r="AC523" s="5">
        <f t="shared" si="190"/>
        <v>45657</v>
      </c>
      <c r="AD523" s="1">
        <v>14</v>
      </c>
      <c r="AE523" s="1">
        <f t="shared" si="191"/>
        <v>366</v>
      </c>
      <c r="AF523" s="1">
        <f t="shared" si="192"/>
        <v>0</v>
      </c>
      <c r="AG523" s="1">
        <f t="shared" si="193"/>
        <v>0</v>
      </c>
      <c r="AH523" s="1">
        <f t="shared" si="194"/>
        <v>0</v>
      </c>
      <c r="AI523" s="1">
        <f t="shared" si="195"/>
        <v>0</v>
      </c>
      <c r="AJ523" s="3">
        <f t="shared" si="196"/>
        <v>1</v>
      </c>
      <c r="AK523" s="3">
        <f t="shared" si="197"/>
        <v>0.91402337228714525</v>
      </c>
      <c r="AL523" s="3">
        <f t="shared" si="198"/>
        <v>12.796327212020033</v>
      </c>
      <c r="AM523" s="3">
        <f t="shared" si="199"/>
        <v>31.990818030050082</v>
      </c>
      <c r="AN523" s="3">
        <f t="shared" si="200"/>
        <v>0</v>
      </c>
      <c r="AO523" s="3">
        <f t="shared" si="201"/>
        <v>31.990818030050082</v>
      </c>
      <c r="AP523" s="1" t="str">
        <f>INDEX({"EAD";"EAD";"EAD";"EAD MOOC";"EAD";"EAD";"EAD FP";"EAD";"PRESENCIAL";"PRESENCIAL";"PRESENCIAL";"PRESENCIAL"}, MATCH(CONCATENATE(E523, ".", F523),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24" spans="1:42" x14ac:dyDescent="0.25">
      <c r="A524" s="1" t="s">
        <v>27</v>
      </c>
      <c r="B524" s="1" t="s">
        <v>43</v>
      </c>
      <c r="C524" s="1" t="s">
        <v>29</v>
      </c>
      <c r="D524" s="1" t="s">
        <v>44</v>
      </c>
      <c r="E524" s="1" t="s">
        <v>120</v>
      </c>
      <c r="F524" s="1" t="s">
        <v>21</v>
      </c>
      <c r="G524" s="1" t="s">
        <v>121</v>
      </c>
      <c r="H524" s="1" t="s">
        <v>662</v>
      </c>
      <c r="I524" s="1" t="s">
        <v>503</v>
      </c>
      <c r="J524" s="1" t="s">
        <v>125</v>
      </c>
      <c r="K524" s="1" t="s">
        <v>109</v>
      </c>
      <c r="L524" s="1">
        <v>2885588</v>
      </c>
      <c r="M524" s="1" t="s">
        <v>736</v>
      </c>
      <c r="N524" s="5">
        <f t="shared" si="202"/>
        <v>44760</v>
      </c>
      <c r="O524" s="5">
        <f>DATE(2027,6,18)</f>
        <v>46556</v>
      </c>
      <c r="P524" s="5">
        <f t="shared" si="182"/>
        <v>47651</v>
      </c>
      <c r="Q524" s="1">
        <v>3662</v>
      </c>
      <c r="R524" s="1">
        <v>3600</v>
      </c>
      <c r="S524" s="1">
        <f t="shared" si="183"/>
        <v>3600</v>
      </c>
      <c r="T524" s="1">
        <v>2.5</v>
      </c>
      <c r="U524" s="1" t="str">
        <f t="shared" si="184"/>
        <v>SIM</v>
      </c>
      <c r="V524" s="1">
        <f t="shared" si="185"/>
        <v>1797</v>
      </c>
      <c r="W524" s="4">
        <f t="shared" si="186"/>
        <v>2.003338898163606</v>
      </c>
      <c r="X524" s="4">
        <f t="shared" si="187"/>
        <v>731.21869782971623</v>
      </c>
      <c r="Y524" s="4">
        <f t="shared" si="188"/>
        <v>0.91402337228714525</v>
      </c>
      <c r="AB524" s="5">
        <f t="shared" si="189"/>
        <v>45292</v>
      </c>
      <c r="AC524" s="5">
        <f t="shared" si="190"/>
        <v>45657</v>
      </c>
      <c r="AD524" s="1">
        <v>45</v>
      </c>
      <c r="AE524" s="1">
        <f t="shared" si="191"/>
        <v>366</v>
      </c>
      <c r="AF524" s="1">
        <f t="shared" si="192"/>
        <v>0</v>
      </c>
      <c r="AG524" s="1">
        <f t="shared" si="193"/>
        <v>0</v>
      </c>
      <c r="AH524" s="1">
        <f t="shared" si="194"/>
        <v>0</v>
      </c>
      <c r="AI524" s="1">
        <f t="shared" si="195"/>
        <v>0</v>
      </c>
      <c r="AJ524" s="3">
        <f t="shared" si="196"/>
        <v>1</v>
      </c>
      <c r="AK524" s="3">
        <f t="shared" si="197"/>
        <v>0.91402337228714525</v>
      </c>
      <c r="AL524" s="3">
        <f t="shared" si="198"/>
        <v>41.131051752921536</v>
      </c>
      <c r="AM524" s="3">
        <f t="shared" si="199"/>
        <v>102.82762938230384</v>
      </c>
      <c r="AN524" s="3">
        <f t="shared" si="200"/>
        <v>0</v>
      </c>
      <c r="AO524" s="3">
        <f t="shared" si="201"/>
        <v>102.82762938230384</v>
      </c>
      <c r="AP524" s="1" t="str">
        <f>INDEX({"EAD";"EAD";"EAD";"EAD MOOC";"EAD";"EAD";"EAD FP";"EAD";"PRESENCIAL";"PRESENCIAL";"PRESENCIAL";"PRESENCIAL"}, MATCH(CONCATENATE(E524, ".", F524),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25" spans="1:42" x14ac:dyDescent="0.25">
      <c r="A525" s="1" t="s">
        <v>27</v>
      </c>
      <c r="B525" s="1" t="s">
        <v>43</v>
      </c>
      <c r="C525" s="1" t="s">
        <v>29</v>
      </c>
      <c r="D525" s="1" t="s">
        <v>44</v>
      </c>
      <c r="E525" s="1" t="s">
        <v>120</v>
      </c>
      <c r="F525" s="1" t="s">
        <v>21</v>
      </c>
      <c r="G525" s="1" t="s">
        <v>121</v>
      </c>
      <c r="H525" s="1" t="s">
        <v>495</v>
      </c>
      <c r="I525" s="1" t="s">
        <v>124</v>
      </c>
      <c r="J525" s="1" t="s">
        <v>125</v>
      </c>
      <c r="K525" s="1" t="s">
        <v>109</v>
      </c>
      <c r="L525" s="1">
        <v>2885612</v>
      </c>
      <c r="M525" s="1" t="s">
        <v>737</v>
      </c>
      <c r="N525" s="5">
        <f t="shared" si="202"/>
        <v>44760</v>
      </c>
      <c r="O525" s="5">
        <f>DATE(2026,5,17)</f>
        <v>46159</v>
      </c>
      <c r="P525" s="5">
        <f t="shared" si="182"/>
        <v>47254</v>
      </c>
      <c r="Q525" s="1">
        <v>2400</v>
      </c>
      <c r="R525" s="1">
        <v>2400</v>
      </c>
      <c r="S525" s="1">
        <f t="shared" si="183"/>
        <v>2400</v>
      </c>
      <c r="T525" s="1">
        <v>1</v>
      </c>
      <c r="U525" s="1" t="str">
        <f t="shared" si="184"/>
        <v>SIM</v>
      </c>
      <c r="V525" s="1">
        <f t="shared" si="185"/>
        <v>1400</v>
      </c>
      <c r="W525" s="4">
        <f t="shared" si="186"/>
        <v>1.7142857142857142</v>
      </c>
      <c r="X525" s="4">
        <f t="shared" si="187"/>
        <v>625.71428571428567</v>
      </c>
      <c r="Y525" s="4">
        <f t="shared" si="188"/>
        <v>0.78214285714285703</v>
      </c>
      <c r="AB525" s="5">
        <f t="shared" si="189"/>
        <v>45292</v>
      </c>
      <c r="AC525" s="5">
        <f t="shared" si="190"/>
        <v>45657</v>
      </c>
      <c r="AD525" s="1">
        <v>35</v>
      </c>
      <c r="AE525" s="1">
        <f t="shared" si="191"/>
        <v>366</v>
      </c>
      <c r="AF525" s="1">
        <f t="shared" si="192"/>
        <v>0</v>
      </c>
      <c r="AG525" s="1">
        <f t="shared" si="193"/>
        <v>0</v>
      </c>
      <c r="AH525" s="1">
        <f t="shared" si="194"/>
        <v>0</v>
      </c>
      <c r="AI525" s="1">
        <f t="shared" si="195"/>
        <v>0</v>
      </c>
      <c r="AJ525" s="3">
        <f t="shared" si="196"/>
        <v>1</v>
      </c>
      <c r="AK525" s="3">
        <f t="shared" si="197"/>
        <v>0.78214285714285703</v>
      </c>
      <c r="AL525" s="3">
        <f t="shared" si="198"/>
        <v>27.374999999999996</v>
      </c>
      <c r="AM525" s="3">
        <f t="shared" si="199"/>
        <v>27.374999999999996</v>
      </c>
      <c r="AN525" s="3">
        <f t="shared" si="200"/>
        <v>0</v>
      </c>
      <c r="AO525" s="3">
        <f t="shared" si="201"/>
        <v>27.374999999999996</v>
      </c>
      <c r="AP525" s="1" t="str">
        <f>INDEX({"EAD";"EAD";"EAD";"EAD MOOC";"EAD";"EAD";"EAD FP";"EAD";"PRESENCIAL";"PRESENCIAL";"PRESENCIAL";"PRESENCIAL"}, MATCH(CONCATENATE(E525, ".", F525),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26" spans="1:42" x14ac:dyDescent="0.25">
      <c r="A526" s="1" t="s">
        <v>27</v>
      </c>
      <c r="B526" s="1" t="s">
        <v>43</v>
      </c>
      <c r="C526" s="1" t="s">
        <v>29</v>
      </c>
      <c r="D526" s="1" t="s">
        <v>44</v>
      </c>
      <c r="E526" s="1" t="s">
        <v>120</v>
      </c>
      <c r="F526" s="1" t="s">
        <v>21</v>
      </c>
      <c r="G526" s="1" t="s">
        <v>121</v>
      </c>
      <c r="H526" s="1" t="s">
        <v>537</v>
      </c>
      <c r="I526" s="1" t="s">
        <v>187</v>
      </c>
      <c r="J526" s="1" t="s">
        <v>125</v>
      </c>
      <c r="K526" s="1" t="s">
        <v>109</v>
      </c>
      <c r="L526" s="1">
        <v>2885617</v>
      </c>
      <c r="M526" s="1" t="s">
        <v>738</v>
      </c>
      <c r="N526" s="5">
        <f t="shared" si="202"/>
        <v>44760</v>
      </c>
      <c r="O526" s="5">
        <f>DATE(2026,5,17)</f>
        <v>46159</v>
      </c>
      <c r="P526" s="5">
        <f t="shared" si="182"/>
        <v>47254</v>
      </c>
      <c r="Q526" s="1">
        <v>2600</v>
      </c>
      <c r="R526" s="1">
        <v>2400</v>
      </c>
      <c r="S526" s="1">
        <f t="shared" si="183"/>
        <v>2400</v>
      </c>
      <c r="T526" s="1">
        <v>1</v>
      </c>
      <c r="U526" s="1" t="str">
        <f t="shared" si="184"/>
        <v>SIM</v>
      </c>
      <c r="V526" s="1">
        <f t="shared" si="185"/>
        <v>1400</v>
      </c>
      <c r="W526" s="4">
        <f t="shared" si="186"/>
        <v>1.7142857142857142</v>
      </c>
      <c r="X526" s="4">
        <f t="shared" si="187"/>
        <v>625.71428571428567</v>
      </c>
      <c r="Y526" s="4">
        <f t="shared" si="188"/>
        <v>0.78214285714285703</v>
      </c>
      <c r="AB526" s="5">
        <f t="shared" si="189"/>
        <v>45292</v>
      </c>
      <c r="AC526" s="5">
        <f t="shared" si="190"/>
        <v>45657</v>
      </c>
      <c r="AD526" s="1">
        <v>18</v>
      </c>
      <c r="AE526" s="1">
        <f t="shared" si="191"/>
        <v>366</v>
      </c>
      <c r="AF526" s="1">
        <f t="shared" si="192"/>
        <v>0</v>
      </c>
      <c r="AG526" s="1">
        <f t="shared" si="193"/>
        <v>0</v>
      </c>
      <c r="AH526" s="1">
        <f t="shared" si="194"/>
        <v>0</v>
      </c>
      <c r="AI526" s="1">
        <f t="shared" si="195"/>
        <v>0</v>
      </c>
      <c r="AJ526" s="3">
        <f t="shared" si="196"/>
        <v>1</v>
      </c>
      <c r="AK526" s="3">
        <f t="shared" si="197"/>
        <v>0.78214285714285703</v>
      </c>
      <c r="AL526" s="3">
        <f t="shared" si="198"/>
        <v>14.078571428571426</v>
      </c>
      <c r="AM526" s="3">
        <f t="shared" si="199"/>
        <v>14.078571428571426</v>
      </c>
      <c r="AN526" s="3">
        <f t="shared" si="200"/>
        <v>0</v>
      </c>
      <c r="AO526" s="3">
        <f t="shared" si="201"/>
        <v>14.078571428571426</v>
      </c>
      <c r="AP526" s="1" t="str">
        <f>INDEX({"EAD";"EAD";"EAD";"EAD MOOC";"EAD";"EAD";"EAD FP";"EAD";"PRESENCIAL";"PRESENCIAL";"PRESENCIAL";"PRESENCIAL"}, MATCH(CONCATENATE(E526, ".", F526),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27" spans="1:42" x14ac:dyDescent="0.25">
      <c r="A527" s="1" t="s">
        <v>27</v>
      </c>
      <c r="B527" s="1" t="s">
        <v>43</v>
      </c>
      <c r="C527" s="1" t="s">
        <v>29</v>
      </c>
      <c r="D527" s="1" t="s">
        <v>44</v>
      </c>
      <c r="E527" s="1" t="s">
        <v>120</v>
      </c>
      <c r="F527" s="1" t="s">
        <v>21</v>
      </c>
      <c r="G527" s="1" t="s">
        <v>140</v>
      </c>
      <c r="H527" s="1" t="s">
        <v>498</v>
      </c>
      <c r="I527" s="1" t="s">
        <v>289</v>
      </c>
      <c r="J527" s="1" t="s">
        <v>125</v>
      </c>
      <c r="K527" s="1" t="s">
        <v>109</v>
      </c>
      <c r="L527" s="1">
        <v>2885620</v>
      </c>
      <c r="M527" s="1" t="s">
        <v>739</v>
      </c>
      <c r="N527" s="5">
        <f t="shared" si="202"/>
        <v>44760</v>
      </c>
      <c r="O527" s="5">
        <f>DATE(2025,12,23)</f>
        <v>46014</v>
      </c>
      <c r="P527" s="5">
        <f t="shared" si="182"/>
        <v>47109</v>
      </c>
      <c r="Q527" s="1">
        <v>2614</v>
      </c>
      <c r="R527" s="1">
        <v>2400</v>
      </c>
      <c r="S527" s="1">
        <f t="shared" si="183"/>
        <v>2400</v>
      </c>
      <c r="T527" s="1">
        <v>2.5</v>
      </c>
      <c r="U527" s="1" t="str">
        <f t="shared" si="184"/>
        <v>SIM</v>
      </c>
      <c r="V527" s="1">
        <f t="shared" si="185"/>
        <v>1255</v>
      </c>
      <c r="W527" s="4">
        <f t="shared" si="186"/>
        <v>1.9123505976095618</v>
      </c>
      <c r="X527" s="4">
        <f t="shared" si="187"/>
        <v>698.00796812749002</v>
      </c>
      <c r="Y527" s="4">
        <f t="shared" si="188"/>
        <v>0.87250996015936255</v>
      </c>
      <c r="AB527" s="5">
        <f t="shared" si="189"/>
        <v>45292</v>
      </c>
      <c r="AC527" s="5">
        <f t="shared" si="190"/>
        <v>45657</v>
      </c>
      <c r="AD527" s="1">
        <v>18</v>
      </c>
      <c r="AE527" s="1">
        <f t="shared" si="191"/>
        <v>366</v>
      </c>
      <c r="AF527" s="1">
        <f t="shared" si="192"/>
        <v>0</v>
      </c>
      <c r="AG527" s="1">
        <f t="shared" si="193"/>
        <v>0</v>
      </c>
      <c r="AH527" s="1">
        <f t="shared" si="194"/>
        <v>0</v>
      </c>
      <c r="AI527" s="1">
        <f t="shared" si="195"/>
        <v>0</v>
      </c>
      <c r="AJ527" s="3">
        <f t="shared" si="196"/>
        <v>1</v>
      </c>
      <c r="AK527" s="3">
        <f t="shared" si="197"/>
        <v>0.87250996015936255</v>
      </c>
      <c r="AL527" s="3">
        <f t="shared" si="198"/>
        <v>15.705179282868526</v>
      </c>
      <c r="AM527" s="3">
        <f t="shared" si="199"/>
        <v>39.262948207171313</v>
      </c>
      <c r="AN527" s="3">
        <f t="shared" si="200"/>
        <v>0</v>
      </c>
      <c r="AO527" s="3">
        <f t="shared" si="201"/>
        <v>39.262948207171313</v>
      </c>
      <c r="AP527" s="1" t="str">
        <f>INDEX({"EAD";"EAD";"EAD";"EAD MOOC";"EAD";"EAD";"EAD FP";"EAD";"PRESENCIAL";"PRESENCIAL";"PRESENCIAL";"PRESENCIAL"}, MATCH(CONCATENATE(E527, ".", F527),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28" spans="1:42" x14ac:dyDescent="0.25">
      <c r="A528" s="1" t="s">
        <v>27</v>
      </c>
      <c r="B528" s="1" t="s">
        <v>43</v>
      </c>
      <c r="C528" s="1" t="s">
        <v>29</v>
      </c>
      <c r="D528" s="1" t="s">
        <v>44</v>
      </c>
      <c r="E528" s="1" t="s">
        <v>120</v>
      </c>
      <c r="F528" s="1" t="s">
        <v>21</v>
      </c>
      <c r="G528" s="1" t="s">
        <v>140</v>
      </c>
      <c r="H528" s="1" t="s">
        <v>529</v>
      </c>
      <c r="I528" s="1" t="s">
        <v>289</v>
      </c>
      <c r="J528" s="1" t="s">
        <v>125</v>
      </c>
      <c r="K528" s="1" t="s">
        <v>109</v>
      </c>
      <c r="L528" s="1">
        <v>2885627</v>
      </c>
      <c r="M528" s="1" t="s">
        <v>740</v>
      </c>
      <c r="N528" s="5">
        <f t="shared" si="202"/>
        <v>44760</v>
      </c>
      <c r="O528" s="5">
        <f>DATE(2025,12,23)</f>
        <v>46014</v>
      </c>
      <c r="P528" s="5">
        <f t="shared" si="182"/>
        <v>47109</v>
      </c>
      <c r="Q528" s="1">
        <v>2562</v>
      </c>
      <c r="R528" s="1">
        <v>2400</v>
      </c>
      <c r="S528" s="1">
        <f t="shared" si="183"/>
        <v>2400</v>
      </c>
      <c r="T528" s="1">
        <v>2.5</v>
      </c>
      <c r="U528" s="1" t="str">
        <f t="shared" si="184"/>
        <v>SIM</v>
      </c>
      <c r="V528" s="1">
        <f t="shared" si="185"/>
        <v>1255</v>
      </c>
      <c r="W528" s="4">
        <f t="shared" si="186"/>
        <v>1.9123505976095618</v>
      </c>
      <c r="X528" s="4">
        <f t="shared" si="187"/>
        <v>698.00796812749002</v>
      </c>
      <c r="Y528" s="4">
        <f t="shared" si="188"/>
        <v>0.87250996015936255</v>
      </c>
      <c r="AB528" s="5">
        <f t="shared" si="189"/>
        <v>45292</v>
      </c>
      <c r="AC528" s="5">
        <f t="shared" si="190"/>
        <v>45657</v>
      </c>
      <c r="AD528" s="1">
        <v>14</v>
      </c>
      <c r="AE528" s="1">
        <f t="shared" si="191"/>
        <v>366</v>
      </c>
      <c r="AF528" s="1">
        <f t="shared" si="192"/>
        <v>0</v>
      </c>
      <c r="AG528" s="1">
        <f t="shared" si="193"/>
        <v>0</v>
      </c>
      <c r="AH528" s="1">
        <f t="shared" si="194"/>
        <v>0</v>
      </c>
      <c r="AI528" s="1">
        <f t="shared" si="195"/>
        <v>0</v>
      </c>
      <c r="AJ528" s="3">
        <f t="shared" si="196"/>
        <v>1</v>
      </c>
      <c r="AK528" s="3">
        <f t="shared" si="197"/>
        <v>0.87250996015936255</v>
      </c>
      <c r="AL528" s="3">
        <f t="shared" si="198"/>
        <v>12.215139442231076</v>
      </c>
      <c r="AM528" s="3">
        <f t="shared" si="199"/>
        <v>30.53784860557769</v>
      </c>
      <c r="AN528" s="3">
        <f t="shared" si="200"/>
        <v>0</v>
      </c>
      <c r="AO528" s="3">
        <f t="shared" si="201"/>
        <v>30.53784860557769</v>
      </c>
      <c r="AP528" s="1" t="str">
        <f>INDEX({"EAD";"EAD";"EAD";"EAD MOOC";"EAD";"EAD";"EAD FP";"EAD";"PRESENCIAL";"PRESENCIAL";"PRESENCIAL";"PRESENCIAL"}, MATCH(CONCATENATE(E528, ".", F528),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29" spans="1:42" x14ac:dyDescent="0.25">
      <c r="A529" s="1" t="s">
        <v>27</v>
      </c>
      <c r="B529" s="1" t="s">
        <v>43</v>
      </c>
      <c r="C529" s="1" t="s">
        <v>29</v>
      </c>
      <c r="D529" s="1" t="s">
        <v>44</v>
      </c>
      <c r="E529" s="1" t="s">
        <v>120</v>
      </c>
      <c r="F529" s="1" t="s">
        <v>21</v>
      </c>
      <c r="G529" s="1" t="s">
        <v>140</v>
      </c>
      <c r="H529" s="1" t="s">
        <v>534</v>
      </c>
      <c r="I529" s="1" t="s">
        <v>289</v>
      </c>
      <c r="J529" s="1" t="s">
        <v>125</v>
      </c>
      <c r="K529" s="1" t="s">
        <v>109</v>
      </c>
      <c r="L529" s="1">
        <v>2885628</v>
      </c>
      <c r="M529" s="1" t="s">
        <v>741</v>
      </c>
      <c r="N529" s="5">
        <f t="shared" si="202"/>
        <v>44760</v>
      </c>
      <c r="O529" s="5">
        <f>DATE(2025,6,14)</f>
        <v>45822</v>
      </c>
      <c r="P529" s="5">
        <f t="shared" si="182"/>
        <v>46917</v>
      </c>
      <c r="Q529" s="1">
        <v>2480</v>
      </c>
      <c r="R529" s="1">
        <v>2400</v>
      </c>
      <c r="S529" s="1">
        <f t="shared" si="183"/>
        <v>2400</v>
      </c>
      <c r="T529" s="1">
        <v>2.5</v>
      </c>
      <c r="U529" s="1" t="str">
        <f t="shared" si="184"/>
        <v>SIM</v>
      </c>
      <c r="V529" s="1">
        <f t="shared" si="185"/>
        <v>1063</v>
      </c>
      <c r="W529" s="4">
        <f t="shared" si="186"/>
        <v>2.2577610536218251</v>
      </c>
      <c r="X529" s="4">
        <f t="shared" si="187"/>
        <v>824.08278457196616</v>
      </c>
      <c r="Y529" s="4">
        <f t="shared" si="188"/>
        <v>1.0301034807149576</v>
      </c>
      <c r="AB529" s="5">
        <f t="shared" si="189"/>
        <v>45292</v>
      </c>
      <c r="AC529" s="5">
        <f t="shared" si="190"/>
        <v>45657</v>
      </c>
      <c r="AD529" s="1">
        <v>26</v>
      </c>
      <c r="AE529" s="1">
        <f t="shared" si="191"/>
        <v>366</v>
      </c>
      <c r="AF529" s="1">
        <f t="shared" si="192"/>
        <v>0</v>
      </c>
      <c r="AG529" s="1">
        <f t="shared" si="193"/>
        <v>0</v>
      </c>
      <c r="AH529" s="1">
        <f t="shared" si="194"/>
        <v>0</v>
      </c>
      <c r="AI529" s="1">
        <f t="shared" si="195"/>
        <v>0</v>
      </c>
      <c r="AJ529" s="3">
        <f t="shared" si="196"/>
        <v>1</v>
      </c>
      <c r="AK529" s="3">
        <f t="shared" si="197"/>
        <v>1.0301034807149576</v>
      </c>
      <c r="AL529" s="3">
        <f t="shared" si="198"/>
        <v>26.782690498588899</v>
      </c>
      <c r="AM529" s="3">
        <f t="shared" si="199"/>
        <v>66.956726246472243</v>
      </c>
      <c r="AN529" s="3">
        <f t="shared" si="200"/>
        <v>0</v>
      </c>
      <c r="AO529" s="3">
        <f t="shared" si="201"/>
        <v>66.956726246472243</v>
      </c>
      <c r="AP529" s="1" t="str">
        <f>INDEX({"EAD";"EAD";"EAD";"EAD MOOC";"EAD";"EAD";"EAD FP";"EAD";"PRESENCIAL";"PRESENCIAL";"PRESENCIAL";"PRESENCIAL"}, MATCH(CONCATENATE(E529, ".", F529),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30" spans="1:42" x14ac:dyDescent="0.25">
      <c r="A530" s="1" t="s">
        <v>27</v>
      </c>
      <c r="B530" s="1" t="s">
        <v>43</v>
      </c>
      <c r="C530" s="1" t="s">
        <v>29</v>
      </c>
      <c r="D530" s="1" t="s">
        <v>44</v>
      </c>
      <c r="E530" s="1" t="s">
        <v>120</v>
      </c>
      <c r="F530" s="1" t="s">
        <v>21</v>
      </c>
      <c r="G530" s="1" t="s">
        <v>140</v>
      </c>
      <c r="H530" s="1" t="s">
        <v>550</v>
      </c>
      <c r="I530" s="1" t="s">
        <v>209</v>
      </c>
      <c r="J530" s="1" t="s">
        <v>125</v>
      </c>
      <c r="K530" s="1" t="s">
        <v>109</v>
      </c>
      <c r="L530" s="1">
        <v>2885632</v>
      </c>
      <c r="M530" s="1" t="s">
        <v>742</v>
      </c>
      <c r="N530" s="5">
        <f t="shared" si="202"/>
        <v>44760</v>
      </c>
      <c r="O530" s="5">
        <f>DATE(2025,6,14)</f>
        <v>45822</v>
      </c>
      <c r="P530" s="5">
        <f t="shared" si="182"/>
        <v>46917</v>
      </c>
      <c r="Q530" s="1">
        <v>2062</v>
      </c>
      <c r="R530" s="1">
        <v>2000</v>
      </c>
      <c r="S530" s="1">
        <f t="shared" si="183"/>
        <v>2000</v>
      </c>
      <c r="T530" s="1">
        <v>1.5</v>
      </c>
      <c r="U530" s="1" t="str">
        <f t="shared" si="184"/>
        <v>SIM</v>
      </c>
      <c r="V530" s="1">
        <f t="shared" si="185"/>
        <v>1063</v>
      </c>
      <c r="W530" s="4">
        <f t="shared" si="186"/>
        <v>1.8814675446848541</v>
      </c>
      <c r="X530" s="4">
        <f t="shared" si="187"/>
        <v>686.73565380997172</v>
      </c>
      <c r="Y530" s="4">
        <f t="shared" si="188"/>
        <v>0.8584195672624646</v>
      </c>
      <c r="AB530" s="5">
        <f t="shared" si="189"/>
        <v>45292</v>
      </c>
      <c r="AC530" s="5">
        <f t="shared" si="190"/>
        <v>45657</v>
      </c>
      <c r="AD530" s="1">
        <v>19</v>
      </c>
      <c r="AE530" s="1">
        <f t="shared" si="191"/>
        <v>366</v>
      </c>
      <c r="AF530" s="1">
        <f t="shared" si="192"/>
        <v>0</v>
      </c>
      <c r="AG530" s="1">
        <f t="shared" si="193"/>
        <v>0</v>
      </c>
      <c r="AH530" s="1">
        <f t="shared" si="194"/>
        <v>0</v>
      </c>
      <c r="AI530" s="1">
        <f t="shared" si="195"/>
        <v>0</v>
      </c>
      <c r="AJ530" s="3">
        <f t="shared" si="196"/>
        <v>1</v>
      </c>
      <c r="AK530" s="3">
        <f t="shared" si="197"/>
        <v>0.8584195672624646</v>
      </c>
      <c r="AL530" s="3">
        <f t="shared" si="198"/>
        <v>16.309971777986828</v>
      </c>
      <c r="AM530" s="3">
        <f t="shared" si="199"/>
        <v>24.46495766698024</v>
      </c>
      <c r="AN530" s="3">
        <f t="shared" si="200"/>
        <v>0</v>
      </c>
      <c r="AO530" s="3">
        <f t="shared" si="201"/>
        <v>24.46495766698024</v>
      </c>
      <c r="AP530" s="1" t="str">
        <f>INDEX({"EAD";"EAD";"EAD";"EAD MOOC";"EAD";"EAD";"EAD FP";"EAD";"PRESENCIAL";"PRESENCIAL";"PRESENCIAL";"PRESENCIAL"}, MATCH(CONCATENATE(E530, ".", F530),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31" spans="1:42" x14ac:dyDescent="0.25">
      <c r="A531" s="1" t="s">
        <v>27</v>
      </c>
      <c r="B531" s="1" t="s">
        <v>43</v>
      </c>
      <c r="C531" s="1" t="s">
        <v>29</v>
      </c>
      <c r="D531" s="1" t="s">
        <v>44</v>
      </c>
      <c r="E531" s="1" t="s">
        <v>120</v>
      </c>
      <c r="F531" s="1" t="s">
        <v>21</v>
      </c>
      <c r="G531" s="1" t="s">
        <v>140</v>
      </c>
      <c r="H531" s="1" t="s">
        <v>500</v>
      </c>
      <c r="I531" s="1" t="s">
        <v>209</v>
      </c>
      <c r="J531" s="1" t="s">
        <v>125</v>
      </c>
      <c r="K531" s="1" t="s">
        <v>109</v>
      </c>
      <c r="L531" s="1">
        <v>2885634</v>
      </c>
      <c r="M531" s="1" t="s">
        <v>743</v>
      </c>
      <c r="N531" s="5">
        <f t="shared" si="202"/>
        <v>44760</v>
      </c>
      <c r="O531" s="5">
        <f>DATE(2025,6,14)</f>
        <v>45822</v>
      </c>
      <c r="P531" s="5">
        <f t="shared" si="182"/>
        <v>46917</v>
      </c>
      <c r="Q531" s="1">
        <v>2062</v>
      </c>
      <c r="R531" s="1">
        <v>2000</v>
      </c>
      <c r="S531" s="1">
        <f t="shared" si="183"/>
        <v>2000</v>
      </c>
      <c r="T531" s="1">
        <v>1</v>
      </c>
      <c r="U531" s="1" t="str">
        <f t="shared" si="184"/>
        <v>SIM</v>
      </c>
      <c r="V531" s="1">
        <f t="shared" si="185"/>
        <v>1063</v>
      </c>
      <c r="W531" s="4">
        <f t="shared" si="186"/>
        <v>1.8814675446848541</v>
      </c>
      <c r="X531" s="4">
        <f t="shared" si="187"/>
        <v>686.73565380997172</v>
      </c>
      <c r="Y531" s="4">
        <f t="shared" si="188"/>
        <v>0.8584195672624646</v>
      </c>
      <c r="AB531" s="5">
        <f t="shared" si="189"/>
        <v>45292</v>
      </c>
      <c r="AC531" s="5">
        <f t="shared" si="190"/>
        <v>45657</v>
      </c>
      <c r="AD531" s="1">
        <v>26</v>
      </c>
      <c r="AE531" s="1">
        <f t="shared" si="191"/>
        <v>366</v>
      </c>
      <c r="AF531" s="1">
        <f t="shared" si="192"/>
        <v>0</v>
      </c>
      <c r="AG531" s="1">
        <f t="shared" si="193"/>
        <v>0</v>
      </c>
      <c r="AH531" s="1">
        <f t="shared" si="194"/>
        <v>0</v>
      </c>
      <c r="AI531" s="1">
        <f t="shared" si="195"/>
        <v>0</v>
      </c>
      <c r="AJ531" s="3">
        <f t="shared" si="196"/>
        <v>1</v>
      </c>
      <c r="AK531" s="3">
        <f t="shared" si="197"/>
        <v>0.8584195672624646</v>
      </c>
      <c r="AL531" s="3">
        <f t="shared" si="198"/>
        <v>22.318908748824079</v>
      </c>
      <c r="AM531" s="3">
        <f t="shared" si="199"/>
        <v>22.318908748824079</v>
      </c>
      <c r="AN531" s="3">
        <f t="shared" si="200"/>
        <v>0</v>
      </c>
      <c r="AO531" s="3">
        <f t="shared" si="201"/>
        <v>22.318908748824079</v>
      </c>
      <c r="AP531" s="1" t="str">
        <f>INDEX({"EAD";"EAD";"EAD";"EAD MOOC";"EAD";"EAD";"EAD FP";"EAD";"PRESENCIAL";"PRESENCIAL";"PRESENCIAL";"PRESENCIAL"}, MATCH(CONCATENATE(E531, ".", F531),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32" spans="1:42" x14ac:dyDescent="0.25">
      <c r="A532" s="1" t="s">
        <v>27</v>
      </c>
      <c r="B532" s="1" t="s">
        <v>43</v>
      </c>
      <c r="C532" s="1" t="s">
        <v>29</v>
      </c>
      <c r="D532" s="1" t="s">
        <v>44</v>
      </c>
      <c r="E532" s="1" t="s">
        <v>170</v>
      </c>
      <c r="F532" s="1" t="s">
        <v>510</v>
      </c>
      <c r="G532" s="1" t="s">
        <v>178</v>
      </c>
      <c r="H532" s="1" t="s">
        <v>744</v>
      </c>
      <c r="I532" s="1" t="s">
        <v>172</v>
      </c>
      <c r="J532" s="1" t="s">
        <v>125</v>
      </c>
      <c r="K532" s="1" t="s">
        <v>109</v>
      </c>
      <c r="L532" s="1">
        <v>2918783</v>
      </c>
      <c r="M532" s="1" t="s">
        <v>745</v>
      </c>
      <c r="N532" s="5">
        <f>DATE(2022,11,14)</f>
        <v>44879</v>
      </c>
      <c r="O532" s="5">
        <f>DATE(2024,5,17)</f>
        <v>45429</v>
      </c>
      <c r="P532" s="5">
        <f t="shared" si="182"/>
        <v>46524</v>
      </c>
      <c r="Q532" s="1">
        <v>480</v>
      </c>
      <c r="R532" s="1">
        <v>360</v>
      </c>
      <c r="S532" s="1">
        <f t="shared" si="183"/>
        <v>360</v>
      </c>
      <c r="T532" s="1">
        <v>2</v>
      </c>
      <c r="U532" s="1" t="str">
        <f t="shared" si="184"/>
        <v>SIM</v>
      </c>
      <c r="V532" s="1">
        <f t="shared" si="185"/>
        <v>551</v>
      </c>
      <c r="W532" s="4">
        <f t="shared" si="186"/>
        <v>0.65335753176043554</v>
      </c>
      <c r="X532" s="4">
        <f t="shared" si="187"/>
        <v>238.47549909255898</v>
      </c>
      <c r="Y532" s="4">
        <f t="shared" si="188"/>
        <v>0.2980943738656987</v>
      </c>
      <c r="AB532" s="5">
        <f t="shared" si="189"/>
        <v>45292</v>
      </c>
      <c r="AC532" s="5">
        <f t="shared" si="190"/>
        <v>45657</v>
      </c>
      <c r="AD532" s="1">
        <v>24</v>
      </c>
      <c r="AE532" s="1">
        <f t="shared" si="191"/>
        <v>0</v>
      </c>
      <c r="AF532" s="1">
        <f t="shared" si="192"/>
        <v>0</v>
      </c>
      <c r="AG532" s="1">
        <f t="shared" si="193"/>
        <v>138</v>
      </c>
      <c r="AH532" s="1">
        <f t="shared" si="194"/>
        <v>0</v>
      </c>
      <c r="AI532" s="1">
        <f t="shared" si="195"/>
        <v>0</v>
      </c>
      <c r="AJ532" s="3">
        <f t="shared" si="196"/>
        <v>0.37704918032786883</v>
      </c>
      <c r="AK532" s="3">
        <f t="shared" si="197"/>
        <v>0.11239623932641098</v>
      </c>
      <c r="AL532" s="3">
        <f t="shared" si="198"/>
        <v>2.6975097438338635</v>
      </c>
      <c r="AM532" s="3">
        <f t="shared" si="199"/>
        <v>5.3950194876677271</v>
      </c>
      <c r="AN532" s="3">
        <f t="shared" si="200"/>
        <v>0</v>
      </c>
      <c r="AO532" s="3">
        <f t="shared" si="201"/>
        <v>5.3950194876677271</v>
      </c>
      <c r="AP532" s="1" t="str">
        <f>INDEX({"EAD";"EAD";"EAD";"EAD MOOC";"EAD";"EAD";"EAD FP";"EAD";"PRESENCIAL";"PRESENCIAL";"PRESENCIAL";"PRESENCIAL"}, MATCH(CONCATENATE(E532, ".", F532),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33" spans="1:42" x14ac:dyDescent="0.25">
      <c r="A533" s="1" t="s">
        <v>27</v>
      </c>
      <c r="B533" s="1" t="s">
        <v>43</v>
      </c>
      <c r="C533" s="1" t="s">
        <v>29</v>
      </c>
      <c r="D533" s="1" t="s">
        <v>44</v>
      </c>
      <c r="E533" s="1" t="s">
        <v>170</v>
      </c>
      <c r="F533" s="1" t="s">
        <v>510</v>
      </c>
      <c r="G533" s="1" t="s">
        <v>178</v>
      </c>
      <c r="H533" s="1" t="s">
        <v>746</v>
      </c>
      <c r="I533" s="1" t="s">
        <v>172</v>
      </c>
      <c r="J533" s="1" t="s">
        <v>125</v>
      </c>
      <c r="K533" s="1" t="s">
        <v>109</v>
      </c>
      <c r="L533" s="1">
        <v>2918850</v>
      </c>
      <c r="M533" s="1" t="s">
        <v>747</v>
      </c>
      <c r="N533" s="5">
        <f>DATE(2022,11,14)</f>
        <v>44879</v>
      </c>
      <c r="O533" s="5">
        <f>DATE(2024,5,17)</f>
        <v>45429</v>
      </c>
      <c r="P533" s="5">
        <f t="shared" si="182"/>
        <v>46524</v>
      </c>
      <c r="Q533" s="1">
        <v>360</v>
      </c>
      <c r="R533" s="1">
        <v>360</v>
      </c>
      <c r="S533" s="1">
        <f t="shared" si="183"/>
        <v>360</v>
      </c>
      <c r="T533" s="1">
        <v>2</v>
      </c>
      <c r="U533" s="1" t="str">
        <f t="shared" si="184"/>
        <v>SIM</v>
      </c>
      <c r="V533" s="1">
        <f t="shared" si="185"/>
        <v>551</v>
      </c>
      <c r="W533" s="4">
        <f t="shared" si="186"/>
        <v>0.65335753176043554</v>
      </c>
      <c r="X533" s="4">
        <f t="shared" si="187"/>
        <v>238.47549909255898</v>
      </c>
      <c r="Y533" s="4">
        <f t="shared" si="188"/>
        <v>0.2980943738656987</v>
      </c>
      <c r="AB533" s="5">
        <f t="shared" si="189"/>
        <v>45292</v>
      </c>
      <c r="AC533" s="5">
        <f t="shared" si="190"/>
        <v>45657</v>
      </c>
      <c r="AD533" s="1">
        <v>13</v>
      </c>
      <c r="AE533" s="1">
        <f t="shared" si="191"/>
        <v>0</v>
      </c>
      <c r="AF533" s="1">
        <f t="shared" si="192"/>
        <v>0</v>
      </c>
      <c r="AG533" s="1">
        <f t="shared" si="193"/>
        <v>138</v>
      </c>
      <c r="AH533" s="1">
        <f t="shared" si="194"/>
        <v>0</v>
      </c>
      <c r="AI533" s="1">
        <f t="shared" si="195"/>
        <v>0</v>
      </c>
      <c r="AJ533" s="3">
        <f t="shared" si="196"/>
        <v>0.37704918032786883</v>
      </c>
      <c r="AK533" s="3">
        <f t="shared" si="197"/>
        <v>0.11239623932641098</v>
      </c>
      <c r="AL533" s="3">
        <f t="shared" si="198"/>
        <v>1.4611511112433426</v>
      </c>
      <c r="AM533" s="3">
        <f t="shared" si="199"/>
        <v>2.9223022224866853</v>
      </c>
      <c r="AN533" s="3">
        <f t="shared" si="200"/>
        <v>0</v>
      </c>
      <c r="AO533" s="3">
        <f t="shared" si="201"/>
        <v>2.9223022224866853</v>
      </c>
      <c r="AP533" s="1" t="str">
        <f>INDEX({"EAD";"EAD";"EAD";"EAD MOOC";"EAD";"EAD";"EAD FP";"EAD";"PRESENCIAL";"PRESENCIAL";"PRESENCIAL";"PRESENCIAL"}, MATCH(CONCATENATE(E533, ".", F533),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34" spans="1:42" x14ac:dyDescent="0.25">
      <c r="A534" s="1" t="s">
        <v>27</v>
      </c>
      <c r="B534" s="1" t="s">
        <v>43</v>
      </c>
      <c r="C534" s="1" t="s">
        <v>29</v>
      </c>
      <c r="D534" s="1" t="s">
        <v>44</v>
      </c>
      <c r="E534" s="1" t="s">
        <v>170</v>
      </c>
      <c r="F534" s="1" t="s">
        <v>510</v>
      </c>
      <c r="G534" s="1" t="s">
        <v>178</v>
      </c>
      <c r="H534" s="1" t="s">
        <v>748</v>
      </c>
      <c r="I534" s="1" t="s">
        <v>209</v>
      </c>
      <c r="J534" s="1" t="s">
        <v>125</v>
      </c>
      <c r="K534" s="1" t="s">
        <v>109</v>
      </c>
      <c r="L534" s="1">
        <v>2918898</v>
      </c>
      <c r="M534" s="1" t="s">
        <v>749</v>
      </c>
      <c r="N534" s="5">
        <f>DATE(2022,11,14)</f>
        <v>44879</v>
      </c>
      <c r="O534" s="5">
        <f>DATE(2024,5,17)</f>
        <v>45429</v>
      </c>
      <c r="P534" s="5">
        <f t="shared" si="182"/>
        <v>46524</v>
      </c>
      <c r="Q534" s="1">
        <v>405</v>
      </c>
      <c r="R534" s="1">
        <v>360</v>
      </c>
      <c r="S534" s="1">
        <f t="shared" si="183"/>
        <v>360</v>
      </c>
      <c r="T534" s="1">
        <v>1.5</v>
      </c>
      <c r="U534" s="1" t="str">
        <f t="shared" si="184"/>
        <v>SIM</v>
      </c>
      <c r="V534" s="1">
        <f t="shared" si="185"/>
        <v>551</v>
      </c>
      <c r="W534" s="4">
        <f t="shared" si="186"/>
        <v>0.65335753176043554</v>
      </c>
      <c r="X534" s="4">
        <f t="shared" si="187"/>
        <v>238.47549909255898</v>
      </c>
      <c r="Y534" s="4">
        <f t="shared" si="188"/>
        <v>0.2980943738656987</v>
      </c>
      <c r="AB534" s="5">
        <f t="shared" si="189"/>
        <v>45292</v>
      </c>
      <c r="AC534" s="5">
        <f t="shared" si="190"/>
        <v>45657</v>
      </c>
      <c r="AD534" s="1">
        <v>21</v>
      </c>
      <c r="AE534" s="1">
        <f t="shared" si="191"/>
        <v>0</v>
      </c>
      <c r="AF534" s="1">
        <f t="shared" si="192"/>
        <v>0</v>
      </c>
      <c r="AG534" s="1">
        <f t="shared" si="193"/>
        <v>138</v>
      </c>
      <c r="AH534" s="1">
        <f t="shared" si="194"/>
        <v>0</v>
      </c>
      <c r="AI534" s="1">
        <f t="shared" si="195"/>
        <v>0</v>
      </c>
      <c r="AJ534" s="3">
        <f t="shared" si="196"/>
        <v>0.37704918032786883</v>
      </c>
      <c r="AK534" s="3">
        <f t="shared" si="197"/>
        <v>0.11239623932641098</v>
      </c>
      <c r="AL534" s="3">
        <f t="shared" si="198"/>
        <v>2.3603210258546303</v>
      </c>
      <c r="AM534" s="3">
        <f t="shared" si="199"/>
        <v>3.5404815387819455</v>
      </c>
      <c r="AN534" s="3">
        <f t="shared" si="200"/>
        <v>0</v>
      </c>
      <c r="AO534" s="3">
        <f t="shared" si="201"/>
        <v>3.5404815387819455</v>
      </c>
      <c r="AP534" s="1" t="str">
        <f>INDEX({"EAD";"EAD";"EAD";"EAD MOOC";"EAD";"EAD";"EAD FP";"EAD";"PRESENCIAL";"PRESENCIAL";"PRESENCIAL";"PRESENCIAL"}, MATCH(CONCATENATE(E534, ".", F534),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35" spans="1:42" x14ac:dyDescent="0.25">
      <c r="A535" s="1" t="s">
        <v>27</v>
      </c>
      <c r="B535" s="1" t="s">
        <v>43</v>
      </c>
      <c r="C535" s="1" t="s">
        <v>29</v>
      </c>
      <c r="D535" s="1" t="s">
        <v>44</v>
      </c>
      <c r="E535" s="1" t="s">
        <v>170</v>
      </c>
      <c r="F535" s="1" t="s">
        <v>510</v>
      </c>
      <c r="G535" s="1" t="s">
        <v>178</v>
      </c>
      <c r="H535" s="1" t="s">
        <v>744</v>
      </c>
      <c r="I535" s="1" t="s">
        <v>172</v>
      </c>
      <c r="J535" s="1" t="s">
        <v>125</v>
      </c>
      <c r="K535" s="1" t="s">
        <v>109</v>
      </c>
      <c r="L535" s="1">
        <v>2918769</v>
      </c>
      <c r="M535" s="1" t="s">
        <v>750</v>
      </c>
      <c r="N535" s="5">
        <f t="shared" ref="N535:N542" si="203">DATE(2022,11,15)</f>
        <v>44880</v>
      </c>
      <c r="O535" s="5">
        <f>DATE(2024,5,17)</f>
        <v>45429</v>
      </c>
      <c r="P535" s="5">
        <f t="shared" si="182"/>
        <v>46524</v>
      </c>
      <c r="Q535" s="1">
        <v>480</v>
      </c>
      <c r="R535" s="1">
        <v>360</v>
      </c>
      <c r="S535" s="1">
        <f t="shared" si="183"/>
        <v>360</v>
      </c>
      <c r="T535" s="1">
        <v>2</v>
      </c>
      <c r="U535" s="1" t="str">
        <f t="shared" si="184"/>
        <v>SIM</v>
      </c>
      <c r="V535" s="1">
        <f t="shared" si="185"/>
        <v>550</v>
      </c>
      <c r="W535" s="4">
        <f t="shared" si="186"/>
        <v>0.65454545454545454</v>
      </c>
      <c r="X535" s="4">
        <f t="shared" si="187"/>
        <v>238.90909090909091</v>
      </c>
      <c r="Y535" s="4">
        <f t="shared" si="188"/>
        <v>0.29863636363636364</v>
      </c>
      <c r="AB535" s="5">
        <f t="shared" si="189"/>
        <v>45292</v>
      </c>
      <c r="AC535" s="5">
        <f t="shared" si="190"/>
        <v>45657</v>
      </c>
      <c r="AD535" s="1">
        <v>26</v>
      </c>
      <c r="AE535" s="1">
        <f t="shared" si="191"/>
        <v>0</v>
      </c>
      <c r="AF535" s="1">
        <f t="shared" si="192"/>
        <v>0</v>
      </c>
      <c r="AG535" s="1">
        <f t="shared" si="193"/>
        <v>138</v>
      </c>
      <c r="AH535" s="1">
        <f t="shared" si="194"/>
        <v>0</v>
      </c>
      <c r="AI535" s="1">
        <f t="shared" si="195"/>
        <v>0</v>
      </c>
      <c r="AJ535" s="3">
        <f t="shared" si="196"/>
        <v>0.37704918032786883</v>
      </c>
      <c r="AK535" s="3">
        <f t="shared" si="197"/>
        <v>0.11260059612518629</v>
      </c>
      <c r="AL535" s="3">
        <f t="shared" si="198"/>
        <v>2.9276154992548435</v>
      </c>
      <c r="AM535" s="3">
        <f t="shared" si="199"/>
        <v>5.8552309985096871</v>
      </c>
      <c r="AN535" s="3">
        <f t="shared" si="200"/>
        <v>0</v>
      </c>
      <c r="AO535" s="3">
        <f t="shared" si="201"/>
        <v>5.8552309985096871</v>
      </c>
      <c r="AP535" s="1" t="str">
        <f>INDEX({"EAD";"EAD";"EAD";"EAD MOOC";"EAD";"EAD";"EAD FP";"EAD";"PRESENCIAL";"PRESENCIAL";"PRESENCIAL";"PRESENCIAL"}, MATCH(CONCATENATE(E535, ".", F535),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36" spans="1:42" x14ac:dyDescent="0.25">
      <c r="A536" s="1" t="s">
        <v>27</v>
      </c>
      <c r="B536" s="1" t="s">
        <v>43</v>
      </c>
      <c r="C536" s="1" t="s">
        <v>29</v>
      </c>
      <c r="D536" s="1" t="s">
        <v>44</v>
      </c>
      <c r="E536" s="1" t="s">
        <v>170</v>
      </c>
      <c r="F536" s="1" t="s">
        <v>510</v>
      </c>
      <c r="G536" s="1" t="s">
        <v>178</v>
      </c>
      <c r="H536" s="1" t="s">
        <v>744</v>
      </c>
      <c r="I536" s="1" t="s">
        <v>172</v>
      </c>
      <c r="J536" s="1" t="s">
        <v>125</v>
      </c>
      <c r="K536" s="1" t="s">
        <v>109</v>
      </c>
      <c r="L536" s="1">
        <v>2918800</v>
      </c>
      <c r="M536" s="1" t="s">
        <v>751</v>
      </c>
      <c r="N536" s="5">
        <f t="shared" si="203"/>
        <v>44880</v>
      </c>
      <c r="O536" s="5">
        <f>DATE(2024,5,16)</f>
        <v>45428</v>
      </c>
      <c r="P536" s="5">
        <f t="shared" si="182"/>
        <v>46523</v>
      </c>
      <c r="Q536" s="1">
        <v>480</v>
      </c>
      <c r="R536" s="1">
        <v>360</v>
      </c>
      <c r="S536" s="1">
        <f t="shared" si="183"/>
        <v>360</v>
      </c>
      <c r="T536" s="1">
        <v>2</v>
      </c>
      <c r="U536" s="1" t="str">
        <f t="shared" si="184"/>
        <v>SIM</v>
      </c>
      <c r="V536" s="1">
        <f t="shared" si="185"/>
        <v>549</v>
      </c>
      <c r="W536" s="4">
        <f t="shared" si="186"/>
        <v>0.65573770491803274</v>
      </c>
      <c r="X536" s="4">
        <f t="shared" si="187"/>
        <v>239.34426229508196</v>
      </c>
      <c r="Y536" s="4">
        <f t="shared" si="188"/>
        <v>0.29918032786885246</v>
      </c>
      <c r="AB536" s="5">
        <f t="shared" si="189"/>
        <v>45292</v>
      </c>
      <c r="AC536" s="5">
        <f t="shared" si="190"/>
        <v>45657</v>
      </c>
      <c r="AD536" s="1">
        <v>50</v>
      </c>
      <c r="AE536" s="1">
        <f t="shared" si="191"/>
        <v>0</v>
      </c>
      <c r="AF536" s="1">
        <f t="shared" si="192"/>
        <v>0</v>
      </c>
      <c r="AG536" s="1">
        <f t="shared" si="193"/>
        <v>137</v>
      </c>
      <c r="AH536" s="1">
        <f t="shared" si="194"/>
        <v>0</v>
      </c>
      <c r="AI536" s="1">
        <f t="shared" si="195"/>
        <v>0</v>
      </c>
      <c r="AJ536" s="3">
        <f t="shared" si="196"/>
        <v>0.37431693989071041</v>
      </c>
      <c r="AK536" s="3">
        <f t="shared" si="197"/>
        <v>0.11198826480336828</v>
      </c>
      <c r="AL536" s="3">
        <f t="shared" si="198"/>
        <v>5.5994132401684142</v>
      </c>
      <c r="AM536" s="3">
        <f t="shared" si="199"/>
        <v>11.198826480336828</v>
      </c>
      <c r="AN536" s="3">
        <f t="shared" si="200"/>
        <v>0</v>
      </c>
      <c r="AO536" s="3">
        <f t="shared" si="201"/>
        <v>11.198826480336828</v>
      </c>
      <c r="AP536" s="1" t="str">
        <f>INDEX({"EAD";"EAD";"EAD";"EAD MOOC";"EAD";"EAD";"EAD FP";"EAD";"PRESENCIAL";"PRESENCIAL";"PRESENCIAL";"PRESENCIAL"}, MATCH(CONCATENATE(E536, ".", F536),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37" spans="1:42" x14ac:dyDescent="0.25">
      <c r="A537" s="1" t="s">
        <v>27</v>
      </c>
      <c r="B537" s="1" t="s">
        <v>43</v>
      </c>
      <c r="C537" s="1" t="s">
        <v>29</v>
      </c>
      <c r="D537" s="1" t="s">
        <v>44</v>
      </c>
      <c r="E537" s="1" t="s">
        <v>170</v>
      </c>
      <c r="F537" s="1" t="s">
        <v>510</v>
      </c>
      <c r="G537" s="1" t="s">
        <v>178</v>
      </c>
      <c r="H537" s="1" t="s">
        <v>744</v>
      </c>
      <c r="I537" s="1" t="s">
        <v>172</v>
      </c>
      <c r="J537" s="1" t="s">
        <v>125</v>
      </c>
      <c r="K537" s="1" t="s">
        <v>109</v>
      </c>
      <c r="L537" s="1">
        <v>2918812</v>
      </c>
      <c r="M537" s="1" t="s">
        <v>752</v>
      </c>
      <c r="N537" s="5">
        <f t="shared" si="203"/>
        <v>44880</v>
      </c>
      <c r="O537" s="5">
        <f>DATE(2024,5,20)</f>
        <v>45432</v>
      </c>
      <c r="P537" s="5">
        <f t="shared" si="182"/>
        <v>46527</v>
      </c>
      <c r="Q537" s="1">
        <v>480</v>
      </c>
      <c r="R537" s="1">
        <v>360</v>
      </c>
      <c r="S537" s="1">
        <f t="shared" si="183"/>
        <v>360</v>
      </c>
      <c r="T537" s="1">
        <v>2</v>
      </c>
      <c r="U537" s="1" t="str">
        <f t="shared" si="184"/>
        <v>SIM</v>
      </c>
      <c r="V537" s="1">
        <f t="shared" si="185"/>
        <v>553</v>
      </c>
      <c r="W537" s="4">
        <f t="shared" si="186"/>
        <v>0.65099457504520797</v>
      </c>
      <c r="X537" s="4">
        <f t="shared" si="187"/>
        <v>237.6130198915009</v>
      </c>
      <c r="Y537" s="4">
        <f t="shared" si="188"/>
        <v>0.2970162748643761</v>
      </c>
      <c r="AB537" s="5">
        <f t="shared" si="189"/>
        <v>45292</v>
      </c>
      <c r="AC537" s="5">
        <f t="shared" si="190"/>
        <v>45657</v>
      </c>
      <c r="AD537" s="1">
        <v>28</v>
      </c>
      <c r="AE537" s="1">
        <f t="shared" si="191"/>
        <v>0</v>
      </c>
      <c r="AF537" s="1">
        <f t="shared" si="192"/>
        <v>0</v>
      </c>
      <c r="AG537" s="1">
        <f t="shared" si="193"/>
        <v>141</v>
      </c>
      <c r="AH537" s="1">
        <f t="shared" si="194"/>
        <v>0</v>
      </c>
      <c r="AI537" s="1">
        <f t="shared" si="195"/>
        <v>0</v>
      </c>
      <c r="AJ537" s="3">
        <f t="shared" si="196"/>
        <v>0.38524590163934425</v>
      </c>
      <c r="AK537" s="3">
        <f t="shared" si="197"/>
        <v>0.11442430261168587</v>
      </c>
      <c r="AL537" s="3">
        <f t="shared" si="198"/>
        <v>3.2038804731272044</v>
      </c>
      <c r="AM537" s="3">
        <f t="shared" si="199"/>
        <v>6.4077609462544087</v>
      </c>
      <c r="AN537" s="3">
        <f t="shared" si="200"/>
        <v>0</v>
      </c>
      <c r="AO537" s="3">
        <f t="shared" si="201"/>
        <v>6.4077609462544087</v>
      </c>
      <c r="AP537" s="1" t="str">
        <f>INDEX({"EAD";"EAD";"EAD";"EAD MOOC";"EAD";"EAD";"EAD FP";"EAD";"PRESENCIAL";"PRESENCIAL";"PRESENCIAL";"PRESENCIAL"}, MATCH(CONCATENATE(E537, ".", F537),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38" spans="1:42" x14ac:dyDescent="0.25">
      <c r="A538" s="1" t="s">
        <v>27</v>
      </c>
      <c r="B538" s="1" t="s">
        <v>43</v>
      </c>
      <c r="C538" s="1" t="s">
        <v>29</v>
      </c>
      <c r="D538" s="1" t="s">
        <v>44</v>
      </c>
      <c r="E538" s="1" t="s">
        <v>170</v>
      </c>
      <c r="F538" s="1" t="s">
        <v>510</v>
      </c>
      <c r="G538" s="1" t="s">
        <v>178</v>
      </c>
      <c r="H538" s="1" t="s">
        <v>744</v>
      </c>
      <c r="I538" s="1" t="s">
        <v>172</v>
      </c>
      <c r="J538" s="1" t="s">
        <v>125</v>
      </c>
      <c r="K538" s="1" t="s">
        <v>109</v>
      </c>
      <c r="L538" s="1">
        <v>2918814</v>
      </c>
      <c r="M538" s="1" t="s">
        <v>753</v>
      </c>
      <c r="N538" s="5">
        <f t="shared" si="203"/>
        <v>44880</v>
      </c>
      <c r="O538" s="5">
        <f>DATE(2024,5,15)</f>
        <v>45427</v>
      </c>
      <c r="P538" s="5">
        <f t="shared" si="182"/>
        <v>46522</v>
      </c>
      <c r="Q538" s="1">
        <v>480</v>
      </c>
      <c r="R538" s="1">
        <v>360</v>
      </c>
      <c r="S538" s="1">
        <f t="shared" si="183"/>
        <v>360</v>
      </c>
      <c r="T538" s="1">
        <v>2</v>
      </c>
      <c r="U538" s="1" t="str">
        <f t="shared" si="184"/>
        <v>SIM</v>
      </c>
      <c r="V538" s="1">
        <f t="shared" si="185"/>
        <v>548</v>
      </c>
      <c r="W538" s="4">
        <f t="shared" si="186"/>
        <v>0.65693430656934304</v>
      </c>
      <c r="X538" s="4">
        <f t="shared" si="187"/>
        <v>239.78102189781021</v>
      </c>
      <c r="Y538" s="4">
        <f t="shared" si="188"/>
        <v>0.29972627737226276</v>
      </c>
      <c r="AB538" s="5">
        <f t="shared" si="189"/>
        <v>45292</v>
      </c>
      <c r="AC538" s="5">
        <f t="shared" si="190"/>
        <v>45657</v>
      </c>
      <c r="AD538" s="1">
        <v>29</v>
      </c>
      <c r="AE538" s="1">
        <f t="shared" si="191"/>
        <v>0</v>
      </c>
      <c r="AF538" s="1">
        <f t="shared" si="192"/>
        <v>0</v>
      </c>
      <c r="AG538" s="1">
        <f t="shared" si="193"/>
        <v>136</v>
      </c>
      <c r="AH538" s="1">
        <f t="shared" si="194"/>
        <v>0</v>
      </c>
      <c r="AI538" s="1">
        <f t="shared" si="195"/>
        <v>0</v>
      </c>
      <c r="AJ538" s="3">
        <f t="shared" si="196"/>
        <v>0.37158469945355194</v>
      </c>
      <c r="AK538" s="3">
        <f t="shared" si="197"/>
        <v>0.11137369869570421</v>
      </c>
      <c r="AL538" s="3">
        <f t="shared" si="198"/>
        <v>3.2298372621754221</v>
      </c>
      <c r="AM538" s="3">
        <f t="shared" si="199"/>
        <v>6.4596745243508442</v>
      </c>
      <c r="AN538" s="3">
        <f t="shared" si="200"/>
        <v>0</v>
      </c>
      <c r="AO538" s="3">
        <f t="shared" si="201"/>
        <v>6.4596745243508442</v>
      </c>
      <c r="AP538" s="1" t="str">
        <f>INDEX({"EAD";"EAD";"EAD";"EAD MOOC";"EAD";"EAD";"EAD FP";"EAD";"PRESENCIAL";"PRESENCIAL";"PRESENCIAL";"PRESENCIAL"}, MATCH(CONCATENATE(E538, ".", F538),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39" spans="1:42" x14ac:dyDescent="0.25">
      <c r="A539" s="1" t="s">
        <v>27</v>
      </c>
      <c r="B539" s="1" t="s">
        <v>43</v>
      </c>
      <c r="C539" s="1" t="s">
        <v>29</v>
      </c>
      <c r="D539" s="1" t="s">
        <v>44</v>
      </c>
      <c r="E539" s="1" t="s">
        <v>170</v>
      </c>
      <c r="F539" s="1" t="s">
        <v>510</v>
      </c>
      <c r="G539" s="1" t="s">
        <v>178</v>
      </c>
      <c r="H539" s="1" t="s">
        <v>744</v>
      </c>
      <c r="I539" s="1" t="s">
        <v>172</v>
      </c>
      <c r="J539" s="1" t="s">
        <v>125</v>
      </c>
      <c r="K539" s="1" t="s">
        <v>109</v>
      </c>
      <c r="L539" s="1">
        <v>2918820</v>
      </c>
      <c r="M539" s="1" t="s">
        <v>754</v>
      </c>
      <c r="N539" s="5">
        <f t="shared" si="203"/>
        <v>44880</v>
      </c>
      <c r="O539" s="5">
        <f>DATE(2024,5,21)</f>
        <v>45433</v>
      </c>
      <c r="P539" s="5">
        <f t="shared" si="182"/>
        <v>46528</v>
      </c>
      <c r="Q539" s="1">
        <v>480</v>
      </c>
      <c r="R539" s="1">
        <v>360</v>
      </c>
      <c r="S539" s="1">
        <f t="shared" si="183"/>
        <v>360</v>
      </c>
      <c r="T539" s="1">
        <v>2</v>
      </c>
      <c r="U539" s="1" t="str">
        <f t="shared" si="184"/>
        <v>SIM</v>
      </c>
      <c r="V539" s="1">
        <f t="shared" si="185"/>
        <v>554</v>
      </c>
      <c r="W539" s="4">
        <f t="shared" si="186"/>
        <v>0.64981949458483756</v>
      </c>
      <c r="X539" s="4">
        <f t="shared" si="187"/>
        <v>237.18411552346572</v>
      </c>
      <c r="Y539" s="4">
        <f t="shared" si="188"/>
        <v>0.29648014440433212</v>
      </c>
      <c r="AB539" s="5">
        <f t="shared" si="189"/>
        <v>45292</v>
      </c>
      <c r="AC539" s="5">
        <f t="shared" si="190"/>
        <v>45657</v>
      </c>
      <c r="AD539" s="1">
        <v>38</v>
      </c>
      <c r="AE539" s="1">
        <f t="shared" si="191"/>
        <v>0</v>
      </c>
      <c r="AF539" s="1">
        <f t="shared" si="192"/>
        <v>0</v>
      </c>
      <c r="AG539" s="1">
        <f t="shared" si="193"/>
        <v>142</v>
      </c>
      <c r="AH539" s="1">
        <f t="shared" si="194"/>
        <v>0</v>
      </c>
      <c r="AI539" s="1">
        <f t="shared" si="195"/>
        <v>0</v>
      </c>
      <c r="AJ539" s="3">
        <f t="shared" si="196"/>
        <v>0.38797814207650272</v>
      </c>
      <c r="AK539" s="3">
        <f t="shared" si="197"/>
        <v>0.11502781558856601</v>
      </c>
      <c r="AL539" s="3">
        <f t="shared" si="198"/>
        <v>4.3710569923655083</v>
      </c>
      <c r="AM539" s="3">
        <f t="shared" si="199"/>
        <v>8.7421139847310165</v>
      </c>
      <c r="AN539" s="3">
        <f t="shared" si="200"/>
        <v>0</v>
      </c>
      <c r="AO539" s="3">
        <f t="shared" si="201"/>
        <v>8.7421139847310165</v>
      </c>
      <c r="AP539" s="1" t="str">
        <f>INDEX({"EAD";"EAD";"EAD";"EAD MOOC";"EAD";"EAD";"EAD FP";"EAD";"PRESENCIAL";"PRESENCIAL";"PRESENCIAL";"PRESENCIAL"}, MATCH(CONCATENATE(E539, ".", F539),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40" spans="1:42" x14ac:dyDescent="0.25">
      <c r="A540" s="1" t="s">
        <v>27</v>
      </c>
      <c r="B540" s="1" t="s">
        <v>43</v>
      </c>
      <c r="C540" s="1" t="s">
        <v>29</v>
      </c>
      <c r="D540" s="1" t="s">
        <v>44</v>
      </c>
      <c r="E540" s="1" t="s">
        <v>170</v>
      </c>
      <c r="F540" s="1" t="s">
        <v>510</v>
      </c>
      <c r="G540" s="1" t="s">
        <v>178</v>
      </c>
      <c r="H540" s="1" t="s">
        <v>746</v>
      </c>
      <c r="I540" s="1" t="s">
        <v>172</v>
      </c>
      <c r="J540" s="1" t="s">
        <v>125</v>
      </c>
      <c r="K540" s="1" t="s">
        <v>109</v>
      </c>
      <c r="L540" s="1">
        <v>2918848</v>
      </c>
      <c r="M540" s="1" t="s">
        <v>755</v>
      </c>
      <c r="N540" s="5">
        <f t="shared" si="203"/>
        <v>44880</v>
      </c>
      <c r="O540" s="5">
        <f>DATE(2024,5,17)</f>
        <v>45429</v>
      </c>
      <c r="P540" s="5">
        <f t="shared" si="182"/>
        <v>46524</v>
      </c>
      <c r="Q540" s="1">
        <v>360</v>
      </c>
      <c r="R540" s="1">
        <v>360</v>
      </c>
      <c r="S540" s="1">
        <f t="shared" si="183"/>
        <v>360</v>
      </c>
      <c r="T540" s="1">
        <v>2</v>
      </c>
      <c r="U540" s="1" t="str">
        <f t="shared" si="184"/>
        <v>SIM</v>
      </c>
      <c r="V540" s="1">
        <f t="shared" si="185"/>
        <v>550</v>
      </c>
      <c r="W540" s="4">
        <f t="shared" si="186"/>
        <v>0.65454545454545454</v>
      </c>
      <c r="X540" s="4">
        <f t="shared" si="187"/>
        <v>238.90909090909091</v>
      </c>
      <c r="Y540" s="4">
        <f t="shared" si="188"/>
        <v>0.29863636363636364</v>
      </c>
      <c r="AB540" s="5">
        <f t="shared" si="189"/>
        <v>45292</v>
      </c>
      <c r="AC540" s="5">
        <f t="shared" si="190"/>
        <v>45657</v>
      </c>
      <c r="AD540" s="1">
        <v>25</v>
      </c>
      <c r="AE540" s="1">
        <f t="shared" si="191"/>
        <v>0</v>
      </c>
      <c r="AF540" s="1">
        <f t="shared" si="192"/>
        <v>0</v>
      </c>
      <c r="AG540" s="1">
        <f t="shared" si="193"/>
        <v>138</v>
      </c>
      <c r="AH540" s="1">
        <f t="shared" si="194"/>
        <v>0</v>
      </c>
      <c r="AI540" s="1">
        <f t="shared" si="195"/>
        <v>0</v>
      </c>
      <c r="AJ540" s="3">
        <f t="shared" si="196"/>
        <v>0.37704918032786883</v>
      </c>
      <c r="AK540" s="3">
        <f t="shared" si="197"/>
        <v>0.11260059612518629</v>
      </c>
      <c r="AL540" s="3">
        <f t="shared" si="198"/>
        <v>2.8150149031296574</v>
      </c>
      <c r="AM540" s="3">
        <f t="shared" si="199"/>
        <v>5.6300298062593148</v>
      </c>
      <c r="AN540" s="3">
        <f t="shared" si="200"/>
        <v>0</v>
      </c>
      <c r="AO540" s="3">
        <f t="shared" si="201"/>
        <v>5.6300298062593148</v>
      </c>
      <c r="AP540" s="1" t="str">
        <f>INDEX({"EAD";"EAD";"EAD";"EAD MOOC";"EAD";"EAD";"EAD FP";"EAD";"PRESENCIAL";"PRESENCIAL";"PRESENCIAL";"PRESENCIAL"}, MATCH(CONCATENATE(E540, ".", F540),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41" spans="1:42" x14ac:dyDescent="0.25">
      <c r="A541" s="1" t="s">
        <v>27</v>
      </c>
      <c r="B541" s="1" t="s">
        <v>43</v>
      </c>
      <c r="C541" s="1" t="s">
        <v>29</v>
      </c>
      <c r="D541" s="1" t="s">
        <v>44</v>
      </c>
      <c r="E541" s="1" t="s">
        <v>170</v>
      </c>
      <c r="F541" s="1" t="s">
        <v>510</v>
      </c>
      <c r="G541" s="1" t="s">
        <v>178</v>
      </c>
      <c r="H541" s="1" t="s">
        <v>746</v>
      </c>
      <c r="I541" s="1" t="s">
        <v>172</v>
      </c>
      <c r="J541" s="1" t="s">
        <v>125</v>
      </c>
      <c r="K541" s="1" t="s">
        <v>109</v>
      </c>
      <c r="L541" s="1">
        <v>2918861</v>
      </c>
      <c r="M541" s="1" t="s">
        <v>756</v>
      </c>
      <c r="N541" s="5">
        <f t="shared" si="203"/>
        <v>44880</v>
      </c>
      <c r="O541" s="5">
        <f>DATE(2024,5,16)</f>
        <v>45428</v>
      </c>
      <c r="P541" s="5">
        <f t="shared" si="182"/>
        <v>46523</v>
      </c>
      <c r="Q541" s="1">
        <v>360</v>
      </c>
      <c r="R541" s="1">
        <v>360</v>
      </c>
      <c r="S541" s="1">
        <f t="shared" si="183"/>
        <v>360</v>
      </c>
      <c r="T541" s="1">
        <v>2</v>
      </c>
      <c r="U541" s="1" t="str">
        <f t="shared" si="184"/>
        <v>SIM</v>
      </c>
      <c r="V541" s="1">
        <f t="shared" si="185"/>
        <v>549</v>
      </c>
      <c r="W541" s="4">
        <f t="shared" si="186"/>
        <v>0.65573770491803274</v>
      </c>
      <c r="X541" s="4">
        <f t="shared" si="187"/>
        <v>239.34426229508196</v>
      </c>
      <c r="Y541" s="4">
        <f t="shared" si="188"/>
        <v>0.29918032786885246</v>
      </c>
      <c r="AB541" s="5">
        <f t="shared" si="189"/>
        <v>45292</v>
      </c>
      <c r="AC541" s="5">
        <f t="shared" si="190"/>
        <v>45657</v>
      </c>
      <c r="AD541" s="1">
        <v>26</v>
      </c>
      <c r="AE541" s="1">
        <f t="shared" si="191"/>
        <v>0</v>
      </c>
      <c r="AF541" s="1">
        <f t="shared" si="192"/>
        <v>0</v>
      </c>
      <c r="AG541" s="1">
        <f t="shared" si="193"/>
        <v>137</v>
      </c>
      <c r="AH541" s="1">
        <f t="shared" si="194"/>
        <v>0</v>
      </c>
      <c r="AI541" s="1">
        <f t="shared" si="195"/>
        <v>0</v>
      </c>
      <c r="AJ541" s="3">
        <f t="shared" si="196"/>
        <v>0.37431693989071041</v>
      </c>
      <c r="AK541" s="3">
        <f t="shared" si="197"/>
        <v>0.11198826480336828</v>
      </c>
      <c r="AL541" s="3">
        <f t="shared" si="198"/>
        <v>2.9116948848875754</v>
      </c>
      <c r="AM541" s="3">
        <f t="shared" si="199"/>
        <v>5.8233897697751509</v>
      </c>
      <c r="AN541" s="3">
        <f t="shared" si="200"/>
        <v>0</v>
      </c>
      <c r="AO541" s="3">
        <f t="shared" si="201"/>
        <v>5.8233897697751509</v>
      </c>
      <c r="AP541" s="1" t="str">
        <f>INDEX({"EAD";"EAD";"EAD";"EAD MOOC";"EAD";"EAD";"EAD FP";"EAD";"PRESENCIAL";"PRESENCIAL";"PRESENCIAL";"PRESENCIAL"}, MATCH(CONCATENATE(E541, ".", F541),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42" spans="1:42" x14ac:dyDescent="0.25">
      <c r="A542" s="1" t="s">
        <v>27</v>
      </c>
      <c r="B542" s="1" t="s">
        <v>43</v>
      </c>
      <c r="C542" s="1" t="s">
        <v>29</v>
      </c>
      <c r="D542" s="1" t="s">
        <v>44</v>
      </c>
      <c r="E542" s="1" t="s">
        <v>170</v>
      </c>
      <c r="F542" s="1" t="s">
        <v>510</v>
      </c>
      <c r="G542" s="1" t="s">
        <v>178</v>
      </c>
      <c r="H542" s="1" t="s">
        <v>748</v>
      </c>
      <c r="I542" s="1" t="s">
        <v>209</v>
      </c>
      <c r="J542" s="1" t="s">
        <v>125</v>
      </c>
      <c r="K542" s="1" t="s">
        <v>109</v>
      </c>
      <c r="L542" s="1">
        <v>2918896</v>
      </c>
      <c r="M542" s="1" t="s">
        <v>757</v>
      </c>
      <c r="N542" s="5">
        <f t="shared" si="203"/>
        <v>44880</v>
      </c>
      <c r="O542" s="5">
        <f t="shared" ref="O542:O551" si="204">DATE(2024,5,17)</f>
        <v>45429</v>
      </c>
      <c r="P542" s="5">
        <f t="shared" si="182"/>
        <v>46524</v>
      </c>
      <c r="Q542" s="1">
        <v>405</v>
      </c>
      <c r="R542" s="1">
        <v>360</v>
      </c>
      <c r="S542" s="1">
        <f t="shared" si="183"/>
        <v>360</v>
      </c>
      <c r="T542" s="1">
        <v>1.5</v>
      </c>
      <c r="U542" s="1" t="str">
        <f t="shared" si="184"/>
        <v>SIM</v>
      </c>
      <c r="V542" s="1">
        <f t="shared" si="185"/>
        <v>550</v>
      </c>
      <c r="W542" s="4">
        <f t="shared" si="186"/>
        <v>0.65454545454545454</v>
      </c>
      <c r="X542" s="4">
        <f t="shared" si="187"/>
        <v>238.90909090909091</v>
      </c>
      <c r="Y542" s="4">
        <f t="shared" si="188"/>
        <v>0.29863636363636364</v>
      </c>
      <c r="AB542" s="5">
        <f t="shared" si="189"/>
        <v>45292</v>
      </c>
      <c r="AC542" s="5">
        <f t="shared" si="190"/>
        <v>45657</v>
      </c>
      <c r="AD542" s="1">
        <v>51</v>
      </c>
      <c r="AE542" s="1">
        <f t="shared" si="191"/>
        <v>0</v>
      </c>
      <c r="AF542" s="1">
        <f t="shared" si="192"/>
        <v>0</v>
      </c>
      <c r="AG542" s="1">
        <f t="shared" si="193"/>
        <v>138</v>
      </c>
      <c r="AH542" s="1">
        <f t="shared" si="194"/>
        <v>0</v>
      </c>
      <c r="AI542" s="1">
        <f t="shared" si="195"/>
        <v>0</v>
      </c>
      <c r="AJ542" s="3">
        <f t="shared" si="196"/>
        <v>0.37704918032786883</v>
      </c>
      <c r="AK542" s="3">
        <f t="shared" si="197"/>
        <v>0.11260059612518629</v>
      </c>
      <c r="AL542" s="3">
        <f t="shared" si="198"/>
        <v>5.742630402384501</v>
      </c>
      <c r="AM542" s="3">
        <f t="shared" si="199"/>
        <v>8.6139456035767523</v>
      </c>
      <c r="AN542" s="3">
        <f t="shared" si="200"/>
        <v>0</v>
      </c>
      <c r="AO542" s="3">
        <f t="shared" si="201"/>
        <v>8.6139456035767523</v>
      </c>
      <c r="AP542" s="1" t="str">
        <f>INDEX({"EAD";"EAD";"EAD";"EAD MOOC";"EAD";"EAD";"EAD FP";"EAD";"PRESENCIAL";"PRESENCIAL";"PRESENCIAL";"PRESENCIAL"}, MATCH(CONCATENATE(E542, ".", F542),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43" spans="1:42" x14ac:dyDescent="0.25">
      <c r="A543" s="1" t="s">
        <v>27</v>
      </c>
      <c r="B543" s="1" t="s">
        <v>43</v>
      </c>
      <c r="C543" s="1" t="s">
        <v>29</v>
      </c>
      <c r="D543" s="1" t="s">
        <v>44</v>
      </c>
      <c r="E543" s="1" t="s">
        <v>170</v>
      </c>
      <c r="F543" s="1" t="s">
        <v>510</v>
      </c>
      <c r="G543" s="1" t="s">
        <v>178</v>
      </c>
      <c r="H543" s="1" t="s">
        <v>744</v>
      </c>
      <c r="I543" s="1" t="s">
        <v>172</v>
      </c>
      <c r="J543" s="1" t="s">
        <v>125</v>
      </c>
      <c r="K543" s="1" t="s">
        <v>109</v>
      </c>
      <c r="L543" s="1">
        <v>2918791</v>
      </c>
      <c r="M543" s="1" t="s">
        <v>758</v>
      </c>
      <c r="N543" s="5">
        <f>DATE(2022,11,16)</f>
        <v>44881</v>
      </c>
      <c r="O543" s="5">
        <f t="shared" si="204"/>
        <v>45429</v>
      </c>
      <c r="P543" s="5">
        <f t="shared" si="182"/>
        <v>46524</v>
      </c>
      <c r="Q543" s="1">
        <v>480</v>
      </c>
      <c r="R543" s="1">
        <v>360</v>
      </c>
      <c r="S543" s="1">
        <f t="shared" si="183"/>
        <v>360</v>
      </c>
      <c r="T543" s="1">
        <v>2</v>
      </c>
      <c r="U543" s="1" t="str">
        <f t="shared" si="184"/>
        <v>SIM</v>
      </c>
      <c r="V543" s="1">
        <f t="shared" si="185"/>
        <v>549</v>
      </c>
      <c r="W543" s="4">
        <f t="shared" si="186"/>
        <v>0.65573770491803274</v>
      </c>
      <c r="X543" s="4">
        <f t="shared" si="187"/>
        <v>239.34426229508196</v>
      </c>
      <c r="Y543" s="4">
        <f t="shared" si="188"/>
        <v>0.29918032786885246</v>
      </c>
      <c r="AB543" s="5">
        <f t="shared" si="189"/>
        <v>45292</v>
      </c>
      <c r="AC543" s="5">
        <f t="shared" si="190"/>
        <v>45657</v>
      </c>
      <c r="AD543" s="1">
        <v>24</v>
      </c>
      <c r="AE543" s="1">
        <f t="shared" si="191"/>
        <v>0</v>
      </c>
      <c r="AF543" s="1">
        <f t="shared" si="192"/>
        <v>0</v>
      </c>
      <c r="AG543" s="1">
        <f t="shared" si="193"/>
        <v>138</v>
      </c>
      <c r="AH543" s="1">
        <f t="shared" si="194"/>
        <v>0</v>
      </c>
      <c r="AI543" s="1">
        <f t="shared" si="195"/>
        <v>0</v>
      </c>
      <c r="AJ543" s="3">
        <f t="shared" si="196"/>
        <v>0.37704918032786883</v>
      </c>
      <c r="AK543" s="3">
        <f t="shared" si="197"/>
        <v>0.11280569739317386</v>
      </c>
      <c r="AL543" s="3">
        <f t="shared" si="198"/>
        <v>2.7073367374361728</v>
      </c>
      <c r="AM543" s="3">
        <f t="shared" si="199"/>
        <v>5.4146734748723455</v>
      </c>
      <c r="AN543" s="3">
        <f t="shared" si="200"/>
        <v>0</v>
      </c>
      <c r="AO543" s="3">
        <f t="shared" si="201"/>
        <v>5.4146734748723455</v>
      </c>
      <c r="AP543" s="1" t="str">
        <f>INDEX({"EAD";"EAD";"EAD";"EAD MOOC";"EAD";"EAD";"EAD FP";"EAD";"PRESENCIAL";"PRESENCIAL";"PRESENCIAL";"PRESENCIAL"}, MATCH(CONCATENATE(E543, ".", F543),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44" spans="1:42" x14ac:dyDescent="0.25">
      <c r="A544" s="1" t="s">
        <v>27</v>
      </c>
      <c r="B544" s="1" t="s">
        <v>43</v>
      </c>
      <c r="C544" s="1" t="s">
        <v>29</v>
      </c>
      <c r="D544" s="1" t="s">
        <v>44</v>
      </c>
      <c r="E544" s="1" t="s">
        <v>170</v>
      </c>
      <c r="F544" s="1" t="s">
        <v>510</v>
      </c>
      <c r="G544" s="1" t="s">
        <v>178</v>
      </c>
      <c r="H544" s="1" t="s">
        <v>746</v>
      </c>
      <c r="I544" s="1" t="s">
        <v>172</v>
      </c>
      <c r="J544" s="1" t="s">
        <v>125</v>
      </c>
      <c r="K544" s="1" t="s">
        <v>109</v>
      </c>
      <c r="L544" s="1">
        <v>2918865</v>
      </c>
      <c r="M544" s="1" t="s">
        <v>759</v>
      </c>
      <c r="N544" s="5">
        <f>DATE(2022,11,16)</f>
        <v>44881</v>
      </c>
      <c r="O544" s="5">
        <f t="shared" si="204"/>
        <v>45429</v>
      </c>
      <c r="P544" s="5">
        <f t="shared" si="182"/>
        <v>46524</v>
      </c>
      <c r="Q544" s="1">
        <v>360</v>
      </c>
      <c r="R544" s="1">
        <v>360</v>
      </c>
      <c r="S544" s="1">
        <f t="shared" si="183"/>
        <v>360</v>
      </c>
      <c r="T544" s="1">
        <v>2</v>
      </c>
      <c r="U544" s="1" t="str">
        <f t="shared" si="184"/>
        <v>SIM</v>
      </c>
      <c r="V544" s="1">
        <f t="shared" si="185"/>
        <v>549</v>
      </c>
      <c r="W544" s="4">
        <f t="shared" si="186"/>
        <v>0.65573770491803274</v>
      </c>
      <c r="X544" s="4">
        <f t="shared" si="187"/>
        <v>239.34426229508196</v>
      </c>
      <c r="Y544" s="4">
        <f t="shared" si="188"/>
        <v>0.29918032786885246</v>
      </c>
      <c r="AB544" s="5">
        <f t="shared" si="189"/>
        <v>45292</v>
      </c>
      <c r="AC544" s="5">
        <f t="shared" si="190"/>
        <v>45657</v>
      </c>
      <c r="AD544" s="1">
        <v>29</v>
      </c>
      <c r="AE544" s="1">
        <f t="shared" si="191"/>
        <v>0</v>
      </c>
      <c r="AF544" s="1">
        <f t="shared" si="192"/>
        <v>0</v>
      </c>
      <c r="AG544" s="1">
        <f t="shared" si="193"/>
        <v>138</v>
      </c>
      <c r="AH544" s="1">
        <f t="shared" si="194"/>
        <v>0</v>
      </c>
      <c r="AI544" s="1">
        <f t="shared" si="195"/>
        <v>0</v>
      </c>
      <c r="AJ544" s="3">
        <f t="shared" si="196"/>
        <v>0.37704918032786883</v>
      </c>
      <c r="AK544" s="3">
        <f t="shared" si="197"/>
        <v>0.11280569739317386</v>
      </c>
      <c r="AL544" s="3">
        <f t="shared" si="198"/>
        <v>3.2713652244020421</v>
      </c>
      <c r="AM544" s="3">
        <f t="shared" si="199"/>
        <v>6.5427304488040843</v>
      </c>
      <c r="AN544" s="3">
        <f t="shared" si="200"/>
        <v>0</v>
      </c>
      <c r="AO544" s="3">
        <f t="shared" si="201"/>
        <v>6.5427304488040843</v>
      </c>
      <c r="AP544" s="1" t="str">
        <f>INDEX({"EAD";"EAD";"EAD";"EAD MOOC";"EAD";"EAD";"EAD FP";"EAD";"PRESENCIAL";"PRESENCIAL";"PRESENCIAL";"PRESENCIAL"}, MATCH(CONCATENATE(E544, ".", F544),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45" spans="1:42" x14ac:dyDescent="0.25">
      <c r="A545" s="1" t="s">
        <v>27</v>
      </c>
      <c r="B545" s="1" t="s">
        <v>43</v>
      </c>
      <c r="C545" s="1" t="s">
        <v>29</v>
      </c>
      <c r="D545" s="1" t="s">
        <v>44</v>
      </c>
      <c r="E545" s="1" t="s">
        <v>170</v>
      </c>
      <c r="F545" s="1" t="s">
        <v>510</v>
      </c>
      <c r="G545" s="1" t="s">
        <v>178</v>
      </c>
      <c r="H545" s="1" t="s">
        <v>748</v>
      </c>
      <c r="I545" s="1" t="s">
        <v>209</v>
      </c>
      <c r="J545" s="1" t="s">
        <v>125</v>
      </c>
      <c r="K545" s="1" t="s">
        <v>109</v>
      </c>
      <c r="L545" s="1">
        <v>2918900</v>
      </c>
      <c r="M545" s="1" t="s">
        <v>760</v>
      </c>
      <c r="N545" s="5">
        <f>DATE(2022,11,16)</f>
        <v>44881</v>
      </c>
      <c r="O545" s="5">
        <f t="shared" si="204"/>
        <v>45429</v>
      </c>
      <c r="P545" s="5">
        <f t="shared" si="182"/>
        <v>46524</v>
      </c>
      <c r="Q545" s="1">
        <v>405</v>
      </c>
      <c r="R545" s="1">
        <v>360</v>
      </c>
      <c r="S545" s="1">
        <f t="shared" si="183"/>
        <v>360</v>
      </c>
      <c r="T545" s="1">
        <v>1.5</v>
      </c>
      <c r="U545" s="1" t="str">
        <f t="shared" si="184"/>
        <v>SIM</v>
      </c>
      <c r="V545" s="1">
        <f t="shared" si="185"/>
        <v>549</v>
      </c>
      <c r="W545" s="4">
        <f t="shared" si="186"/>
        <v>0.65573770491803274</v>
      </c>
      <c r="X545" s="4">
        <f t="shared" si="187"/>
        <v>239.34426229508196</v>
      </c>
      <c r="Y545" s="4">
        <f t="shared" si="188"/>
        <v>0.29918032786885246</v>
      </c>
      <c r="AB545" s="5">
        <f t="shared" si="189"/>
        <v>45292</v>
      </c>
      <c r="AC545" s="5">
        <f t="shared" si="190"/>
        <v>45657</v>
      </c>
      <c r="AD545" s="1">
        <v>23</v>
      </c>
      <c r="AE545" s="1">
        <f t="shared" si="191"/>
        <v>0</v>
      </c>
      <c r="AF545" s="1">
        <f t="shared" si="192"/>
        <v>0</v>
      </c>
      <c r="AG545" s="1">
        <f t="shared" si="193"/>
        <v>138</v>
      </c>
      <c r="AH545" s="1">
        <f t="shared" si="194"/>
        <v>0</v>
      </c>
      <c r="AI545" s="1">
        <f t="shared" si="195"/>
        <v>0</v>
      </c>
      <c r="AJ545" s="3">
        <f t="shared" si="196"/>
        <v>0.37704918032786883</v>
      </c>
      <c r="AK545" s="3">
        <f t="shared" si="197"/>
        <v>0.11280569739317386</v>
      </c>
      <c r="AL545" s="3">
        <f t="shared" si="198"/>
        <v>2.5945310400429991</v>
      </c>
      <c r="AM545" s="3">
        <f t="shared" si="199"/>
        <v>3.8917965600644986</v>
      </c>
      <c r="AN545" s="3">
        <f t="shared" si="200"/>
        <v>0</v>
      </c>
      <c r="AO545" s="3">
        <f t="shared" si="201"/>
        <v>3.8917965600644986</v>
      </c>
      <c r="AP545" s="1" t="str">
        <f>INDEX({"EAD";"EAD";"EAD";"EAD MOOC";"EAD";"EAD";"EAD FP";"EAD";"PRESENCIAL";"PRESENCIAL";"PRESENCIAL";"PRESENCIAL"}, MATCH(CONCATENATE(E545, ".", F545),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46" spans="1:42" x14ac:dyDescent="0.25">
      <c r="A546" s="1" t="s">
        <v>27</v>
      </c>
      <c r="B546" s="1" t="s">
        <v>43</v>
      </c>
      <c r="C546" s="1" t="s">
        <v>29</v>
      </c>
      <c r="D546" s="1" t="s">
        <v>44</v>
      </c>
      <c r="E546" s="1" t="s">
        <v>170</v>
      </c>
      <c r="F546" s="1" t="s">
        <v>510</v>
      </c>
      <c r="G546" s="1" t="s">
        <v>178</v>
      </c>
      <c r="H546" s="1" t="s">
        <v>744</v>
      </c>
      <c r="I546" s="1" t="s">
        <v>172</v>
      </c>
      <c r="J546" s="1" t="s">
        <v>125</v>
      </c>
      <c r="K546" s="1" t="s">
        <v>109</v>
      </c>
      <c r="L546" s="1">
        <v>2918793</v>
      </c>
      <c r="M546" s="1" t="s">
        <v>761</v>
      </c>
      <c r="N546" s="5">
        <f>DATE(2022,11,17)</f>
        <v>44882</v>
      </c>
      <c r="O546" s="5">
        <f t="shared" si="204"/>
        <v>45429</v>
      </c>
      <c r="P546" s="5">
        <f t="shared" si="182"/>
        <v>46524</v>
      </c>
      <c r="Q546" s="1">
        <v>480</v>
      </c>
      <c r="R546" s="1">
        <v>360</v>
      </c>
      <c r="S546" s="1">
        <f t="shared" si="183"/>
        <v>360</v>
      </c>
      <c r="T546" s="1">
        <v>2</v>
      </c>
      <c r="U546" s="1" t="str">
        <f t="shared" si="184"/>
        <v>SIM</v>
      </c>
      <c r="V546" s="1">
        <f t="shared" si="185"/>
        <v>548</v>
      </c>
      <c r="W546" s="4">
        <f t="shared" si="186"/>
        <v>0.65693430656934304</v>
      </c>
      <c r="X546" s="4">
        <f t="shared" si="187"/>
        <v>239.78102189781021</v>
      </c>
      <c r="Y546" s="4">
        <f t="shared" si="188"/>
        <v>0.29972627737226276</v>
      </c>
      <c r="AB546" s="5">
        <f t="shared" si="189"/>
        <v>45292</v>
      </c>
      <c r="AC546" s="5">
        <f t="shared" si="190"/>
        <v>45657</v>
      </c>
      <c r="AD546" s="1">
        <v>29</v>
      </c>
      <c r="AE546" s="1">
        <f t="shared" si="191"/>
        <v>0</v>
      </c>
      <c r="AF546" s="1">
        <f t="shared" si="192"/>
        <v>0</v>
      </c>
      <c r="AG546" s="1">
        <f t="shared" si="193"/>
        <v>138</v>
      </c>
      <c r="AH546" s="1">
        <f t="shared" si="194"/>
        <v>0</v>
      </c>
      <c r="AI546" s="1">
        <f t="shared" si="195"/>
        <v>0</v>
      </c>
      <c r="AJ546" s="3">
        <f t="shared" si="196"/>
        <v>0.37704918032786883</v>
      </c>
      <c r="AK546" s="3">
        <f t="shared" si="197"/>
        <v>0.11301154720593513</v>
      </c>
      <c r="AL546" s="3">
        <f t="shared" si="198"/>
        <v>3.2773348689721189</v>
      </c>
      <c r="AM546" s="3">
        <f t="shared" si="199"/>
        <v>6.5546697379442378</v>
      </c>
      <c r="AN546" s="3">
        <f t="shared" si="200"/>
        <v>0</v>
      </c>
      <c r="AO546" s="3">
        <f t="shared" si="201"/>
        <v>6.5546697379442378</v>
      </c>
      <c r="AP546" s="1" t="str">
        <f>INDEX({"EAD";"EAD";"EAD";"EAD MOOC";"EAD";"EAD";"EAD FP";"EAD";"PRESENCIAL";"PRESENCIAL";"PRESENCIAL";"PRESENCIAL"}, MATCH(CONCATENATE(E546, ".", F546),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47" spans="1:42" x14ac:dyDescent="0.25">
      <c r="A547" s="1" t="s">
        <v>27</v>
      </c>
      <c r="B547" s="1" t="s">
        <v>43</v>
      </c>
      <c r="C547" s="1" t="s">
        <v>29</v>
      </c>
      <c r="D547" s="1" t="s">
        <v>44</v>
      </c>
      <c r="E547" s="1" t="s">
        <v>170</v>
      </c>
      <c r="F547" s="1" t="s">
        <v>510</v>
      </c>
      <c r="G547" s="1" t="s">
        <v>178</v>
      </c>
      <c r="H547" s="1" t="s">
        <v>746</v>
      </c>
      <c r="I547" s="1" t="s">
        <v>172</v>
      </c>
      <c r="J547" s="1" t="s">
        <v>125</v>
      </c>
      <c r="K547" s="1" t="s">
        <v>109</v>
      </c>
      <c r="L547" s="1">
        <v>2918867</v>
      </c>
      <c r="M547" s="1" t="s">
        <v>762</v>
      </c>
      <c r="N547" s="5">
        <f>DATE(2022,11,17)</f>
        <v>44882</v>
      </c>
      <c r="O547" s="5">
        <f t="shared" si="204"/>
        <v>45429</v>
      </c>
      <c r="P547" s="5">
        <f t="shared" si="182"/>
        <v>46524</v>
      </c>
      <c r="Q547" s="1">
        <v>360</v>
      </c>
      <c r="R547" s="1">
        <v>360</v>
      </c>
      <c r="S547" s="1">
        <f t="shared" si="183"/>
        <v>360</v>
      </c>
      <c r="T547" s="1">
        <v>2</v>
      </c>
      <c r="U547" s="1" t="str">
        <f t="shared" si="184"/>
        <v>SIM</v>
      </c>
      <c r="V547" s="1">
        <f t="shared" si="185"/>
        <v>548</v>
      </c>
      <c r="W547" s="4">
        <f t="shared" si="186"/>
        <v>0.65693430656934304</v>
      </c>
      <c r="X547" s="4">
        <f t="shared" si="187"/>
        <v>239.78102189781021</v>
      </c>
      <c r="Y547" s="4">
        <f t="shared" si="188"/>
        <v>0.29972627737226276</v>
      </c>
      <c r="AB547" s="5">
        <f t="shared" si="189"/>
        <v>45292</v>
      </c>
      <c r="AC547" s="5">
        <f t="shared" si="190"/>
        <v>45657</v>
      </c>
      <c r="AD547" s="1">
        <v>26</v>
      </c>
      <c r="AE547" s="1">
        <f t="shared" si="191"/>
        <v>0</v>
      </c>
      <c r="AF547" s="1">
        <f t="shared" si="192"/>
        <v>0</v>
      </c>
      <c r="AG547" s="1">
        <f t="shared" si="193"/>
        <v>138</v>
      </c>
      <c r="AH547" s="1">
        <f t="shared" si="194"/>
        <v>0</v>
      </c>
      <c r="AI547" s="1">
        <f t="shared" si="195"/>
        <v>0</v>
      </c>
      <c r="AJ547" s="3">
        <f t="shared" si="196"/>
        <v>0.37704918032786883</v>
      </c>
      <c r="AK547" s="3">
        <f t="shared" si="197"/>
        <v>0.11301154720593513</v>
      </c>
      <c r="AL547" s="3">
        <f t="shared" si="198"/>
        <v>2.9383002273543135</v>
      </c>
      <c r="AM547" s="3">
        <f t="shared" si="199"/>
        <v>5.876600454708627</v>
      </c>
      <c r="AN547" s="3">
        <f t="shared" si="200"/>
        <v>0</v>
      </c>
      <c r="AO547" s="3">
        <f t="shared" si="201"/>
        <v>5.876600454708627</v>
      </c>
      <c r="AP547" s="1" t="str">
        <f>INDEX({"EAD";"EAD";"EAD";"EAD MOOC";"EAD";"EAD";"EAD FP";"EAD";"PRESENCIAL";"PRESENCIAL";"PRESENCIAL";"PRESENCIAL"}, MATCH(CONCATENATE(E547, ".", F547),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48" spans="1:42" x14ac:dyDescent="0.25">
      <c r="A548" s="1" t="s">
        <v>27</v>
      </c>
      <c r="B548" s="1" t="s">
        <v>43</v>
      </c>
      <c r="C548" s="1" t="s">
        <v>29</v>
      </c>
      <c r="D548" s="1" t="s">
        <v>44</v>
      </c>
      <c r="E548" s="1" t="s">
        <v>170</v>
      </c>
      <c r="F548" s="1" t="s">
        <v>510</v>
      </c>
      <c r="G548" s="1" t="s">
        <v>178</v>
      </c>
      <c r="H548" s="1" t="s">
        <v>748</v>
      </c>
      <c r="I548" s="1" t="s">
        <v>209</v>
      </c>
      <c r="J548" s="1" t="s">
        <v>125</v>
      </c>
      <c r="K548" s="1" t="s">
        <v>109</v>
      </c>
      <c r="L548" s="1">
        <v>2918907</v>
      </c>
      <c r="M548" s="1" t="s">
        <v>763</v>
      </c>
      <c r="N548" s="5">
        <f>DATE(2022,11,17)</f>
        <v>44882</v>
      </c>
      <c r="O548" s="5">
        <f t="shared" si="204"/>
        <v>45429</v>
      </c>
      <c r="P548" s="5">
        <f t="shared" si="182"/>
        <v>46524</v>
      </c>
      <c r="Q548" s="1">
        <v>405</v>
      </c>
      <c r="R548" s="1">
        <v>360</v>
      </c>
      <c r="S548" s="1">
        <f t="shared" si="183"/>
        <v>360</v>
      </c>
      <c r="T548" s="1">
        <v>1.5</v>
      </c>
      <c r="U548" s="1" t="str">
        <f t="shared" si="184"/>
        <v>SIM</v>
      </c>
      <c r="V548" s="1">
        <f t="shared" si="185"/>
        <v>548</v>
      </c>
      <c r="W548" s="4">
        <f t="shared" si="186"/>
        <v>0.65693430656934304</v>
      </c>
      <c r="X548" s="4">
        <f t="shared" si="187"/>
        <v>239.78102189781021</v>
      </c>
      <c r="Y548" s="4">
        <f t="shared" si="188"/>
        <v>0.29972627737226276</v>
      </c>
      <c r="AB548" s="5">
        <f t="shared" si="189"/>
        <v>45292</v>
      </c>
      <c r="AC548" s="5">
        <f t="shared" si="190"/>
        <v>45657</v>
      </c>
      <c r="AD548" s="1">
        <v>27</v>
      </c>
      <c r="AE548" s="1">
        <f t="shared" si="191"/>
        <v>0</v>
      </c>
      <c r="AF548" s="1">
        <f t="shared" si="192"/>
        <v>0</v>
      </c>
      <c r="AG548" s="1">
        <f t="shared" si="193"/>
        <v>138</v>
      </c>
      <c r="AH548" s="1">
        <f t="shared" si="194"/>
        <v>0</v>
      </c>
      <c r="AI548" s="1">
        <f t="shared" si="195"/>
        <v>0</v>
      </c>
      <c r="AJ548" s="3">
        <f t="shared" si="196"/>
        <v>0.37704918032786883</v>
      </c>
      <c r="AK548" s="3">
        <f t="shared" si="197"/>
        <v>0.11301154720593513</v>
      </c>
      <c r="AL548" s="3">
        <f t="shared" si="198"/>
        <v>3.0513117745602485</v>
      </c>
      <c r="AM548" s="3">
        <f t="shared" si="199"/>
        <v>4.5769676618403725</v>
      </c>
      <c r="AN548" s="3">
        <f t="shared" si="200"/>
        <v>0</v>
      </c>
      <c r="AO548" s="3">
        <f t="shared" si="201"/>
        <v>4.5769676618403725</v>
      </c>
      <c r="AP548" s="1" t="str">
        <f>INDEX({"EAD";"EAD";"EAD";"EAD MOOC";"EAD";"EAD";"EAD FP";"EAD";"PRESENCIAL";"PRESENCIAL";"PRESENCIAL";"PRESENCIAL"}, MATCH(CONCATENATE(E548, ".", F548),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49" spans="1:42" x14ac:dyDescent="0.25">
      <c r="A549" s="1" t="s">
        <v>27</v>
      </c>
      <c r="B549" s="1" t="s">
        <v>43</v>
      </c>
      <c r="C549" s="1" t="s">
        <v>29</v>
      </c>
      <c r="D549" s="1" t="s">
        <v>44</v>
      </c>
      <c r="E549" s="1" t="s">
        <v>170</v>
      </c>
      <c r="F549" s="1" t="s">
        <v>510</v>
      </c>
      <c r="G549" s="1" t="s">
        <v>178</v>
      </c>
      <c r="H549" s="1" t="s">
        <v>744</v>
      </c>
      <c r="I549" s="1" t="s">
        <v>172</v>
      </c>
      <c r="J549" s="1" t="s">
        <v>125</v>
      </c>
      <c r="K549" s="1" t="s">
        <v>109</v>
      </c>
      <c r="L549" s="1">
        <v>2918804</v>
      </c>
      <c r="M549" s="1" t="s">
        <v>764</v>
      </c>
      <c r="N549" s="5">
        <f>DATE(2022,11,18)</f>
        <v>44883</v>
      </c>
      <c r="O549" s="5">
        <f t="shared" si="204"/>
        <v>45429</v>
      </c>
      <c r="P549" s="5">
        <f t="shared" si="182"/>
        <v>46524</v>
      </c>
      <c r="Q549" s="1">
        <v>480</v>
      </c>
      <c r="R549" s="1">
        <v>360</v>
      </c>
      <c r="S549" s="1">
        <f t="shared" si="183"/>
        <v>360</v>
      </c>
      <c r="T549" s="1">
        <v>2</v>
      </c>
      <c r="U549" s="1" t="str">
        <f t="shared" si="184"/>
        <v>SIM</v>
      </c>
      <c r="V549" s="1">
        <f t="shared" si="185"/>
        <v>547</v>
      </c>
      <c r="W549" s="4">
        <f t="shared" si="186"/>
        <v>0.65813528336380256</v>
      </c>
      <c r="X549" s="4">
        <f t="shared" si="187"/>
        <v>240.21937842778794</v>
      </c>
      <c r="Y549" s="4">
        <f t="shared" si="188"/>
        <v>0.30027422303473494</v>
      </c>
      <c r="AB549" s="5">
        <f t="shared" si="189"/>
        <v>45292</v>
      </c>
      <c r="AC549" s="5">
        <f t="shared" si="190"/>
        <v>45657</v>
      </c>
      <c r="AD549" s="1">
        <v>18</v>
      </c>
      <c r="AE549" s="1">
        <f t="shared" si="191"/>
        <v>0</v>
      </c>
      <c r="AF549" s="1">
        <f t="shared" si="192"/>
        <v>0</v>
      </c>
      <c r="AG549" s="1">
        <f t="shared" si="193"/>
        <v>138</v>
      </c>
      <c r="AH549" s="1">
        <f t="shared" si="194"/>
        <v>0</v>
      </c>
      <c r="AI549" s="1">
        <f t="shared" si="195"/>
        <v>0</v>
      </c>
      <c r="AJ549" s="3">
        <f t="shared" si="196"/>
        <v>0.37704918032786883</v>
      </c>
      <c r="AK549" s="3">
        <f t="shared" si="197"/>
        <v>0.11321814966883448</v>
      </c>
      <c r="AL549" s="3">
        <f t="shared" si="198"/>
        <v>2.0379266940390206</v>
      </c>
      <c r="AM549" s="3">
        <f t="shared" si="199"/>
        <v>4.0758533880780412</v>
      </c>
      <c r="AN549" s="3">
        <f t="shared" si="200"/>
        <v>0</v>
      </c>
      <c r="AO549" s="3">
        <f t="shared" si="201"/>
        <v>4.0758533880780412</v>
      </c>
      <c r="AP549" s="1" t="str">
        <f>INDEX({"EAD";"EAD";"EAD";"EAD MOOC";"EAD";"EAD";"EAD FP";"EAD";"PRESENCIAL";"PRESENCIAL";"PRESENCIAL";"PRESENCIAL"}, MATCH(CONCATENATE(E549, ".", F549),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50" spans="1:42" x14ac:dyDescent="0.25">
      <c r="A550" s="1" t="s">
        <v>27</v>
      </c>
      <c r="B550" s="1" t="s">
        <v>43</v>
      </c>
      <c r="C550" s="1" t="s">
        <v>29</v>
      </c>
      <c r="D550" s="1" t="s">
        <v>44</v>
      </c>
      <c r="E550" s="1" t="s">
        <v>170</v>
      </c>
      <c r="F550" s="1" t="s">
        <v>510</v>
      </c>
      <c r="G550" s="1" t="s">
        <v>178</v>
      </c>
      <c r="H550" s="1" t="s">
        <v>746</v>
      </c>
      <c r="I550" s="1" t="s">
        <v>172</v>
      </c>
      <c r="J550" s="1" t="s">
        <v>125</v>
      </c>
      <c r="K550" s="1" t="s">
        <v>109</v>
      </c>
      <c r="L550" s="1">
        <v>2918871</v>
      </c>
      <c r="M550" s="1" t="s">
        <v>765</v>
      </c>
      <c r="N550" s="5">
        <f>DATE(2022,11,18)</f>
        <v>44883</v>
      </c>
      <c r="O550" s="5">
        <f t="shared" si="204"/>
        <v>45429</v>
      </c>
      <c r="P550" s="5">
        <f t="shared" si="182"/>
        <v>46524</v>
      </c>
      <c r="Q550" s="1">
        <v>360</v>
      </c>
      <c r="R550" s="1">
        <v>360</v>
      </c>
      <c r="S550" s="1">
        <f t="shared" si="183"/>
        <v>360</v>
      </c>
      <c r="T550" s="1">
        <v>2</v>
      </c>
      <c r="U550" s="1" t="str">
        <f t="shared" si="184"/>
        <v>SIM</v>
      </c>
      <c r="V550" s="1">
        <f t="shared" si="185"/>
        <v>547</v>
      </c>
      <c r="W550" s="4">
        <f t="shared" si="186"/>
        <v>0.65813528336380256</v>
      </c>
      <c r="X550" s="4">
        <f t="shared" si="187"/>
        <v>240.21937842778794</v>
      </c>
      <c r="Y550" s="4">
        <f t="shared" si="188"/>
        <v>0.30027422303473494</v>
      </c>
      <c r="AB550" s="5">
        <f t="shared" si="189"/>
        <v>45292</v>
      </c>
      <c r="AC550" s="5">
        <f t="shared" si="190"/>
        <v>45657</v>
      </c>
      <c r="AD550" s="1">
        <v>31</v>
      </c>
      <c r="AE550" s="1">
        <f t="shared" si="191"/>
        <v>0</v>
      </c>
      <c r="AF550" s="1">
        <f t="shared" si="192"/>
        <v>0</v>
      </c>
      <c r="AG550" s="1">
        <f t="shared" si="193"/>
        <v>138</v>
      </c>
      <c r="AH550" s="1">
        <f t="shared" si="194"/>
        <v>0</v>
      </c>
      <c r="AI550" s="1">
        <f t="shared" si="195"/>
        <v>0</v>
      </c>
      <c r="AJ550" s="3">
        <f t="shared" si="196"/>
        <v>0.37704918032786883</v>
      </c>
      <c r="AK550" s="3">
        <f t="shared" si="197"/>
        <v>0.11321814966883448</v>
      </c>
      <c r="AL550" s="3">
        <f t="shared" si="198"/>
        <v>3.5097626397338688</v>
      </c>
      <c r="AM550" s="3">
        <f t="shared" si="199"/>
        <v>7.0195252794677376</v>
      </c>
      <c r="AN550" s="3">
        <f t="shared" si="200"/>
        <v>0</v>
      </c>
      <c r="AO550" s="3">
        <f t="shared" si="201"/>
        <v>7.0195252794677376</v>
      </c>
      <c r="AP550" s="1" t="str">
        <f>INDEX({"EAD";"EAD";"EAD";"EAD MOOC";"EAD";"EAD";"EAD FP";"EAD";"PRESENCIAL";"PRESENCIAL";"PRESENCIAL";"PRESENCIAL"}, MATCH(CONCATENATE(E550, ".", F550),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51" spans="1:42" x14ac:dyDescent="0.25">
      <c r="A551" s="1" t="s">
        <v>27</v>
      </c>
      <c r="B551" s="1" t="s">
        <v>43</v>
      </c>
      <c r="C551" s="1" t="s">
        <v>29</v>
      </c>
      <c r="D551" s="1" t="s">
        <v>44</v>
      </c>
      <c r="E551" s="1" t="s">
        <v>170</v>
      </c>
      <c r="F551" s="1" t="s">
        <v>510</v>
      </c>
      <c r="G551" s="1" t="s">
        <v>178</v>
      </c>
      <c r="H551" s="1" t="s">
        <v>748</v>
      </c>
      <c r="I551" s="1" t="s">
        <v>209</v>
      </c>
      <c r="J551" s="1" t="s">
        <v>125</v>
      </c>
      <c r="K551" s="1" t="s">
        <v>109</v>
      </c>
      <c r="L551" s="1">
        <v>2918911</v>
      </c>
      <c r="M551" s="1" t="s">
        <v>766</v>
      </c>
      <c r="N551" s="5">
        <f>DATE(2022,11,18)</f>
        <v>44883</v>
      </c>
      <c r="O551" s="5">
        <f t="shared" si="204"/>
        <v>45429</v>
      </c>
      <c r="P551" s="5">
        <f t="shared" si="182"/>
        <v>46524</v>
      </c>
      <c r="Q551" s="1">
        <v>405</v>
      </c>
      <c r="R551" s="1">
        <v>360</v>
      </c>
      <c r="S551" s="1">
        <f t="shared" si="183"/>
        <v>360</v>
      </c>
      <c r="T551" s="1">
        <v>1.5</v>
      </c>
      <c r="U551" s="1" t="str">
        <f t="shared" si="184"/>
        <v>SIM</v>
      </c>
      <c r="V551" s="1">
        <f t="shared" si="185"/>
        <v>547</v>
      </c>
      <c r="W551" s="4">
        <f t="shared" si="186"/>
        <v>0.65813528336380256</v>
      </c>
      <c r="X551" s="4">
        <f t="shared" si="187"/>
        <v>240.21937842778794</v>
      </c>
      <c r="Y551" s="4">
        <f t="shared" si="188"/>
        <v>0.30027422303473494</v>
      </c>
      <c r="AB551" s="5">
        <f t="shared" si="189"/>
        <v>45292</v>
      </c>
      <c r="AC551" s="5">
        <f t="shared" si="190"/>
        <v>45657</v>
      </c>
      <c r="AD551" s="1">
        <v>20</v>
      </c>
      <c r="AE551" s="1">
        <f t="shared" si="191"/>
        <v>0</v>
      </c>
      <c r="AF551" s="1">
        <f t="shared" si="192"/>
        <v>0</v>
      </c>
      <c r="AG551" s="1">
        <f t="shared" si="193"/>
        <v>138</v>
      </c>
      <c r="AH551" s="1">
        <f t="shared" si="194"/>
        <v>0</v>
      </c>
      <c r="AI551" s="1">
        <f t="shared" si="195"/>
        <v>0</v>
      </c>
      <c r="AJ551" s="3">
        <f t="shared" si="196"/>
        <v>0.37704918032786883</v>
      </c>
      <c r="AK551" s="3">
        <f t="shared" si="197"/>
        <v>0.11321814966883448</v>
      </c>
      <c r="AL551" s="3">
        <f t="shared" si="198"/>
        <v>2.2643629933766896</v>
      </c>
      <c r="AM551" s="3">
        <f t="shared" si="199"/>
        <v>3.3965444900650343</v>
      </c>
      <c r="AN551" s="3">
        <f t="shared" si="200"/>
        <v>0</v>
      </c>
      <c r="AO551" s="3">
        <f t="shared" si="201"/>
        <v>3.3965444900650343</v>
      </c>
      <c r="AP551" s="1" t="str">
        <f>INDEX({"EAD";"EAD";"EAD";"EAD MOOC";"EAD";"EAD";"EAD FP";"EAD";"PRESENCIAL";"PRESENCIAL";"PRESENCIAL";"PRESENCIAL"}, MATCH(CONCATENATE(E551, ".", F551),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52" spans="1:42" x14ac:dyDescent="0.25">
      <c r="A552" s="1" t="s">
        <v>27</v>
      </c>
      <c r="B552" s="1" t="s">
        <v>43</v>
      </c>
      <c r="C552" s="1" t="s">
        <v>29</v>
      </c>
      <c r="D552" s="1" t="s">
        <v>44</v>
      </c>
      <c r="E552" s="1" t="s">
        <v>120</v>
      </c>
      <c r="F552" s="1" t="s">
        <v>21</v>
      </c>
      <c r="G552" s="1" t="s">
        <v>128</v>
      </c>
      <c r="H552" s="1" t="s">
        <v>582</v>
      </c>
      <c r="I552" s="1" t="s">
        <v>289</v>
      </c>
      <c r="J552" s="1" t="s">
        <v>125</v>
      </c>
      <c r="K552" s="1" t="s">
        <v>130</v>
      </c>
      <c r="L552" s="1">
        <v>2944825</v>
      </c>
      <c r="M552" s="1" t="s">
        <v>767</v>
      </c>
      <c r="N552" s="5">
        <f t="shared" ref="N552:N572" si="205">DATE(2023,1,30)</f>
        <v>44956</v>
      </c>
      <c r="O552" s="5">
        <f>DATE(2026,12,23)</f>
        <v>46379</v>
      </c>
      <c r="P552" s="5">
        <f t="shared" si="182"/>
        <v>47474</v>
      </c>
      <c r="Q552" s="1">
        <v>3672</v>
      </c>
      <c r="R552" s="1">
        <v>1200</v>
      </c>
      <c r="S552" s="1">
        <f t="shared" si="183"/>
        <v>3200</v>
      </c>
      <c r="T552" s="1">
        <v>2.5</v>
      </c>
      <c r="U552" s="1" t="str">
        <f t="shared" si="184"/>
        <v>SIM</v>
      </c>
      <c r="V552" s="1">
        <f t="shared" si="185"/>
        <v>1424</v>
      </c>
      <c r="W552" s="4">
        <f t="shared" si="186"/>
        <v>2.2471910112359552</v>
      </c>
      <c r="X552" s="4">
        <f t="shared" si="187"/>
        <v>820.2247191011237</v>
      </c>
      <c r="Y552" s="4">
        <f t="shared" si="188"/>
        <v>1.0252808988764046</v>
      </c>
      <c r="AB552" s="5">
        <f t="shared" si="189"/>
        <v>45292</v>
      </c>
      <c r="AC552" s="5">
        <f t="shared" si="190"/>
        <v>45657</v>
      </c>
      <c r="AD552" s="1">
        <v>50</v>
      </c>
      <c r="AE552" s="1">
        <f t="shared" si="191"/>
        <v>366</v>
      </c>
      <c r="AF552" s="1">
        <f t="shared" si="192"/>
        <v>0</v>
      </c>
      <c r="AG552" s="1">
        <f t="shared" si="193"/>
        <v>0</v>
      </c>
      <c r="AH552" s="1">
        <f t="shared" si="194"/>
        <v>0</v>
      </c>
      <c r="AI552" s="1">
        <f t="shared" si="195"/>
        <v>0</v>
      </c>
      <c r="AJ552" s="3">
        <f t="shared" si="196"/>
        <v>1</v>
      </c>
      <c r="AK552" s="3">
        <f t="shared" si="197"/>
        <v>1.0252808988764046</v>
      </c>
      <c r="AL552" s="3">
        <f t="shared" si="198"/>
        <v>51.264044943820231</v>
      </c>
      <c r="AM552" s="3">
        <f t="shared" si="199"/>
        <v>128.16011235955057</v>
      </c>
      <c r="AN552" s="3">
        <f t="shared" si="200"/>
        <v>0</v>
      </c>
      <c r="AO552" s="3">
        <f t="shared" si="201"/>
        <v>128.16011235955057</v>
      </c>
      <c r="AP552" s="1" t="str">
        <f>INDEX({"EAD";"EAD";"EAD";"EAD MOOC";"EAD";"EAD";"EAD FP";"EAD";"PRESENCIAL";"PRESENCIAL";"PRESENCIAL";"PRESENCIAL"}, MATCH(CONCATENATE(E552, ".", F552),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53" spans="1:42" x14ac:dyDescent="0.25">
      <c r="A553" s="1" t="s">
        <v>27</v>
      </c>
      <c r="B553" s="1" t="s">
        <v>43</v>
      </c>
      <c r="C553" s="1" t="s">
        <v>29</v>
      </c>
      <c r="D553" s="1" t="s">
        <v>44</v>
      </c>
      <c r="E553" s="1" t="s">
        <v>120</v>
      </c>
      <c r="F553" s="1" t="s">
        <v>21</v>
      </c>
      <c r="G553" s="1" t="s">
        <v>128</v>
      </c>
      <c r="H553" s="1" t="s">
        <v>559</v>
      </c>
      <c r="I553" s="1" t="s">
        <v>289</v>
      </c>
      <c r="J553" s="1" t="s">
        <v>125</v>
      </c>
      <c r="K553" s="1" t="s">
        <v>130</v>
      </c>
      <c r="L553" s="1">
        <v>2944968</v>
      </c>
      <c r="M553" s="1" t="s">
        <v>768</v>
      </c>
      <c r="N553" s="5">
        <f t="shared" si="205"/>
        <v>44956</v>
      </c>
      <c r="O553" s="5">
        <f>DATE(2026,12,23)</f>
        <v>46379</v>
      </c>
      <c r="P553" s="5">
        <f t="shared" si="182"/>
        <v>47474</v>
      </c>
      <c r="Q553" s="1">
        <v>3672</v>
      </c>
      <c r="R553" s="1">
        <v>1200</v>
      </c>
      <c r="S553" s="1">
        <f t="shared" si="183"/>
        <v>3200</v>
      </c>
      <c r="T553" s="1">
        <v>2.5</v>
      </c>
      <c r="U553" s="1" t="str">
        <f t="shared" si="184"/>
        <v>SIM</v>
      </c>
      <c r="V553" s="1">
        <f t="shared" si="185"/>
        <v>1424</v>
      </c>
      <c r="W553" s="4">
        <f t="shared" si="186"/>
        <v>2.2471910112359552</v>
      </c>
      <c r="X553" s="4">
        <f t="shared" si="187"/>
        <v>820.2247191011237</v>
      </c>
      <c r="Y553" s="4">
        <f t="shared" si="188"/>
        <v>1.0252808988764046</v>
      </c>
      <c r="AB553" s="5">
        <f t="shared" si="189"/>
        <v>45292</v>
      </c>
      <c r="AC553" s="5">
        <f t="shared" si="190"/>
        <v>45657</v>
      </c>
      <c r="AD553" s="1">
        <v>49</v>
      </c>
      <c r="AE553" s="1">
        <f t="shared" si="191"/>
        <v>366</v>
      </c>
      <c r="AF553" s="1">
        <f t="shared" si="192"/>
        <v>0</v>
      </c>
      <c r="AG553" s="1">
        <f t="shared" si="193"/>
        <v>0</v>
      </c>
      <c r="AH553" s="1">
        <f t="shared" si="194"/>
        <v>0</v>
      </c>
      <c r="AI553" s="1">
        <f t="shared" si="195"/>
        <v>0</v>
      </c>
      <c r="AJ553" s="3">
        <f t="shared" si="196"/>
        <v>1</v>
      </c>
      <c r="AK553" s="3">
        <f t="shared" si="197"/>
        <v>1.0252808988764046</v>
      </c>
      <c r="AL553" s="3">
        <f t="shared" si="198"/>
        <v>50.238764044943828</v>
      </c>
      <c r="AM553" s="3">
        <f t="shared" si="199"/>
        <v>125.59691011235957</v>
      </c>
      <c r="AN553" s="3">
        <f t="shared" si="200"/>
        <v>0</v>
      </c>
      <c r="AO553" s="3">
        <f t="shared" si="201"/>
        <v>125.59691011235957</v>
      </c>
      <c r="AP553" s="1" t="str">
        <f>INDEX({"EAD";"EAD";"EAD";"EAD MOOC";"EAD";"EAD";"EAD FP";"EAD";"PRESENCIAL";"PRESENCIAL";"PRESENCIAL";"PRESENCIAL"}, MATCH(CONCATENATE(E553, ".", F553),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54" spans="1:42" x14ac:dyDescent="0.25">
      <c r="A554" s="1" t="s">
        <v>27</v>
      </c>
      <c r="B554" s="1" t="s">
        <v>43</v>
      </c>
      <c r="C554" s="1" t="s">
        <v>29</v>
      </c>
      <c r="D554" s="1" t="s">
        <v>44</v>
      </c>
      <c r="E554" s="1" t="s">
        <v>120</v>
      </c>
      <c r="F554" s="1" t="s">
        <v>21</v>
      </c>
      <c r="G554" s="1" t="s">
        <v>128</v>
      </c>
      <c r="H554" s="1" t="s">
        <v>586</v>
      </c>
      <c r="I554" s="1" t="s">
        <v>503</v>
      </c>
      <c r="J554" s="1" t="s">
        <v>125</v>
      </c>
      <c r="K554" s="1" t="s">
        <v>130</v>
      </c>
      <c r="L554" s="1">
        <v>2944969</v>
      </c>
      <c r="M554" s="1" t="s">
        <v>769</v>
      </c>
      <c r="N554" s="5">
        <f t="shared" si="205"/>
        <v>44956</v>
      </c>
      <c r="O554" s="5">
        <f>DATE(2025,12,23)</f>
        <v>46014</v>
      </c>
      <c r="P554" s="5">
        <f t="shared" si="182"/>
        <v>47109</v>
      </c>
      <c r="Q554" s="1">
        <v>3332</v>
      </c>
      <c r="R554" s="1">
        <v>1200</v>
      </c>
      <c r="S554" s="1">
        <f t="shared" si="183"/>
        <v>3200</v>
      </c>
      <c r="T554" s="1">
        <v>2.5</v>
      </c>
      <c r="U554" s="1" t="str">
        <f t="shared" si="184"/>
        <v>SIM</v>
      </c>
      <c r="V554" s="1">
        <f t="shared" si="185"/>
        <v>1059</v>
      </c>
      <c r="W554" s="4">
        <f t="shared" si="186"/>
        <v>3.0217186024551466</v>
      </c>
      <c r="X554" s="4">
        <f t="shared" si="187"/>
        <v>1102.9272898961285</v>
      </c>
      <c r="Y554" s="4">
        <f t="shared" si="188"/>
        <v>1.3786591123701606</v>
      </c>
      <c r="AB554" s="5">
        <f t="shared" si="189"/>
        <v>45292</v>
      </c>
      <c r="AC554" s="5">
        <f t="shared" si="190"/>
        <v>45657</v>
      </c>
      <c r="AD554" s="1">
        <v>59</v>
      </c>
      <c r="AE554" s="1">
        <f t="shared" si="191"/>
        <v>366</v>
      </c>
      <c r="AF554" s="1">
        <f t="shared" si="192"/>
        <v>0</v>
      </c>
      <c r="AG554" s="1">
        <f t="shared" si="193"/>
        <v>0</v>
      </c>
      <c r="AH554" s="1">
        <f t="shared" si="194"/>
        <v>0</v>
      </c>
      <c r="AI554" s="1">
        <f t="shared" si="195"/>
        <v>0</v>
      </c>
      <c r="AJ554" s="3">
        <f t="shared" si="196"/>
        <v>1</v>
      </c>
      <c r="AK554" s="3">
        <f t="shared" si="197"/>
        <v>1.3786591123701606</v>
      </c>
      <c r="AL554" s="3">
        <f t="shared" si="198"/>
        <v>81.340887629839472</v>
      </c>
      <c r="AM554" s="3">
        <f t="shared" si="199"/>
        <v>203.35221907459868</v>
      </c>
      <c r="AN554" s="3">
        <f t="shared" si="200"/>
        <v>0</v>
      </c>
      <c r="AO554" s="3">
        <f t="shared" si="201"/>
        <v>203.35221907459868</v>
      </c>
      <c r="AP554" s="1" t="str">
        <f>INDEX({"EAD";"EAD";"EAD";"EAD MOOC";"EAD";"EAD";"EAD FP";"EAD";"PRESENCIAL";"PRESENCIAL";"PRESENCIAL";"PRESENCIAL"}, MATCH(CONCATENATE(E554, ".", F554),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55" spans="1:42" x14ac:dyDescent="0.25">
      <c r="A555" s="1" t="s">
        <v>27</v>
      </c>
      <c r="B555" s="1" t="s">
        <v>43</v>
      </c>
      <c r="C555" s="1" t="s">
        <v>29</v>
      </c>
      <c r="D555" s="1" t="s">
        <v>44</v>
      </c>
      <c r="E555" s="1" t="s">
        <v>120</v>
      </c>
      <c r="F555" s="1" t="s">
        <v>21</v>
      </c>
      <c r="G555" s="1" t="s">
        <v>128</v>
      </c>
      <c r="H555" s="1" t="s">
        <v>526</v>
      </c>
      <c r="I555" s="1" t="s">
        <v>503</v>
      </c>
      <c r="J555" s="1" t="s">
        <v>125</v>
      </c>
      <c r="K555" s="1" t="s">
        <v>130</v>
      </c>
      <c r="L555" s="1">
        <v>2944970</v>
      </c>
      <c r="M555" s="1" t="s">
        <v>770</v>
      </c>
      <c r="N555" s="5">
        <f t="shared" si="205"/>
        <v>44956</v>
      </c>
      <c r="O555" s="5">
        <f>DATE(2025,12,23)</f>
        <v>46014</v>
      </c>
      <c r="P555" s="5">
        <f t="shared" si="182"/>
        <v>47109</v>
      </c>
      <c r="Q555" s="1">
        <v>3332</v>
      </c>
      <c r="R555" s="1">
        <v>1200</v>
      </c>
      <c r="S555" s="1">
        <f t="shared" si="183"/>
        <v>3200</v>
      </c>
      <c r="T555" s="1">
        <v>2.5</v>
      </c>
      <c r="U555" s="1" t="str">
        <f t="shared" si="184"/>
        <v>SIM</v>
      </c>
      <c r="V555" s="1">
        <f t="shared" si="185"/>
        <v>1059</v>
      </c>
      <c r="W555" s="4">
        <f t="shared" si="186"/>
        <v>3.0217186024551466</v>
      </c>
      <c r="X555" s="4">
        <f t="shared" si="187"/>
        <v>1102.9272898961285</v>
      </c>
      <c r="Y555" s="4">
        <f t="shared" si="188"/>
        <v>1.3786591123701606</v>
      </c>
      <c r="AB555" s="5">
        <f t="shared" si="189"/>
        <v>45292</v>
      </c>
      <c r="AC555" s="5">
        <f t="shared" si="190"/>
        <v>45657</v>
      </c>
      <c r="AD555" s="1">
        <v>53</v>
      </c>
      <c r="AE555" s="1">
        <f t="shared" si="191"/>
        <v>366</v>
      </c>
      <c r="AF555" s="1">
        <f t="shared" si="192"/>
        <v>0</v>
      </c>
      <c r="AG555" s="1">
        <f t="shared" si="193"/>
        <v>0</v>
      </c>
      <c r="AH555" s="1">
        <f t="shared" si="194"/>
        <v>0</v>
      </c>
      <c r="AI555" s="1">
        <f t="shared" si="195"/>
        <v>0</v>
      </c>
      <c r="AJ555" s="3">
        <f t="shared" si="196"/>
        <v>1</v>
      </c>
      <c r="AK555" s="3">
        <f t="shared" si="197"/>
        <v>1.3786591123701606</v>
      </c>
      <c r="AL555" s="3">
        <f t="shared" si="198"/>
        <v>73.068932955618507</v>
      </c>
      <c r="AM555" s="3">
        <f t="shared" si="199"/>
        <v>182.67233238904626</v>
      </c>
      <c r="AN555" s="3">
        <f t="shared" si="200"/>
        <v>0</v>
      </c>
      <c r="AO555" s="3">
        <f t="shared" si="201"/>
        <v>182.67233238904626</v>
      </c>
      <c r="AP555" s="1" t="str">
        <f>INDEX({"EAD";"EAD";"EAD";"EAD MOOC";"EAD";"EAD";"EAD FP";"EAD";"PRESENCIAL";"PRESENCIAL";"PRESENCIAL";"PRESENCIAL"}, MATCH(CONCATENATE(E555, ".", F555),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56" spans="1:42" x14ac:dyDescent="0.25">
      <c r="A556" s="1" t="s">
        <v>27</v>
      </c>
      <c r="B556" s="1" t="s">
        <v>43</v>
      </c>
      <c r="C556" s="1" t="s">
        <v>29</v>
      </c>
      <c r="D556" s="1" t="s">
        <v>44</v>
      </c>
      <c r="E556" s="1" t="s">
        <v>120</v>
      </c>
      <c r="F556" s="1" t="s">
        <v>21</v>
      </c>
      <c r="G556" s="1" t="s">
        <v>128</v>
      </c>
      <c r="H556" s="1" t="s">
        <v>612</v>
      </c>
      <c r="I556" s="1" t="s">
        <v>187</v>
      </c>
      <c r="J556" s="1" t="s">
        <v>125</v>
      </c>
      <c r="K556" s="1" t="s">
        <v>130</v>
      </c>
      <c r="L556" s="1">
        <v>2944971</v>
      </c>
      <c r="M556" s="1" t="s">
        <v>771</v>
      </c>
      <c r="N556" s="5">
        <f t="shared" si="205"/>
        <v>44956</v>
      </c>
      <c r="O556" s="5">
        <f>DATE(2025,12,23)</f>
        <v>46014</v>
      </c>
      <c r="P556" s="5">
        <f t="shared" si="182"/>
        <v>47109</v>
      </c>
      <c r="Q556" s="1">
        <v>3060</v>
      </c>
      <c r="R556" s="1">
        <v>800</v>
      </c>
      <c r="S556" s="1">
        <f t="shared" si="183"/>
        <v>3000</v>
      </c>
      <c r="T556" s="1">
        <v>1.5</v>
      </c>
      <c r="U556" s="1" t="str">
        <f t="shared" si="184"/>
        <v>SIM</v>
      </c>
      <c r="V556" s="1">
        <f t="shared" si="185"/>
        <v>1059</v>
      </c>
      <c r="W556" s="4">
        <f t="shared" si="186"/>
        <v>2.8328611898016995</v>
      </c>
      <c r="X556" s="4">
        <f t="shared" si="187"/>
        <v>1033.9943342776203</v>
      </c>
      <c r="Y556" s="4">
        <f t="shared" si="188"/>
        <v>1.2924929178470252</v>
      </c>
      <c r="AB556" s="5">
        <f t="shared" si="189"/>
        <v>45292</v>
      </c>
      <c r="AC556" s="5">
        <f t="shared" si="190"/>
        <v>45657</v>
      </c>
      <c r="AD556" s="1">
        <v>69</v>
      </c>
      <c r="AE556" s="1">
        <f t="shared" si="191"/>
        <v>366</v>
      </c>
      <c r="AF556" s="1">
        <f t="shared" si="192"/>
        <v>0</v>
      </c>
      <c r="AG556" s="1">
        <f t="shared" si="193"/>
        <v>0</v>
      </c>
      <c r="AH556" s="1">
        <f t="shared" si="194"/>
        <v>0</v>
      </c>
      <c r="AI556" s="1">
        <f t="shared" si="195"/>
        <v>0</v>
      </c>
      <c r="AJ556" s="3">
        <f t="shared" si="196"/>
        <v>1</v>
      </c>
      <c r="AK556" s="3">
        <f t="shared" si="197"/>
        <v>1.2924929178470252</v>
      </c>
      <c r="AL556" s="3">
        <f t="shared" si="198"/>
        <v>89.182011331444741</v>
      </c>
      <c r="AM556" s="3">
        <f t="shared" si="199"/>
        <v>133.7730169971671</v>
      </c>
      <c r="AN556" s="3">
        <f t="shared" si="200"/>
        <v>0</v>
      </c>
      <c r="AO556" s="3">
        <f t="shared" si="201"/>
        <v>133.7730169971671</v>
      </c>
      <c r="AP556" s="1" t="str">
        <f>INDEX({"EAD";"EAD";"EAD";"EAD MOOC";"EAD";"EAD";"EAD FP";"EAD";"PRESENCIAL";"PRESENCIAL";"PRESENCIAL";"PRESENCIAL"}, MATCH(CONCATENATE(E556, ".", F556),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57" spans="1:42" x14ac:dyDescent="0.25">
      <c r="A557" s="1" t="s">
        <v>27</v>
      </c>
      <c r="B557" s="1" t="s">
        <v>43</v>
      </c>
      <c r="C557" s="1" t="s">
        <v>29</v>
      </c>
      <c r="D557" s="1" t="s">
        <v>44</v>
      </c>
      <c r="E557" s="1" t="s">
        <v>120</v>
      </c>
      <c r="F557" s="1" t="s">
        <v>21</v>
      </c>
      <c r="G557" s="1" t="s">
        <v>128</v>
      </c>
      <c r="H557" s="1" t="s">
        <v>208</v>
      </c>
      <c r="I557" s="1" t="s">
        <v>209</v>
      </c>
      <c r="J557" s="1" t="s">
        <v>125</v>
      </c>
      <c r="K557" s="1" t="s">
        <v>130</v>
      </c>
      <c r="L557" s="1">
        <v>2944972</v>
      </c>
      <c r="M557" s="1" t="s">
        <v>772</v>
      </c>
      <c r="N557" s="5">
        <f t="shared" si="205"/>
        <v>44956</v>
      </c>
      <c r="O557" s="5">
        <f>DATE(2025,12,23)</f>
        <v>46014</v>
      </c>
      <c r="P557" s="5">
        <f t="shared" si="182"/>
        <v>47109</v>
      </c>
      <c r="Q557" s="1">
        <v>3740</v>
      </c>
      <c r="R557" s="1">
        <v>1200</v>
      </c>
      <c r="S557" s="1">
        <f t="shared" si="183"/>
        <v>3200</v>
      </c>
      <c r="T557" s="1">
        <v>1.5</v>
      </c>
      <c r="U557" s="1" t="str">
        <f t="shared" si="184"/>
        <v>SIM</v>
      </c>
      <c r="V557" s="1">
        <f t="shared" si="185"/>
        <v>1059</v>
      </c>
      <c r="W557" s="4">
        <f t="shared" si="186"/>
        <v>3.0217186024551466</v>
      </c>
      <c r="X557" s="4">
        <f t="shared" si="187"/>
        <v>1102.9272898961285</v>
      </c>
      <c r="Y557" s="4">
        <f t="shared" si="188"/>
        <v>1.3786591123701606</v>
      </c>
      <c r="AB557" s="5">
        <f t="shared" si="189"/>
        <v>45292</v>
      </c>
      <c r="AC557" s="5">
        <f t="shared" si="190"/>
        <v>45657</v>
      </c>
      <c r="AD557" s="1">
        <v>69</v>
      </c>
      <c r="AE557" s="1">
        <f t="shared" si="191"/>
        <v>366</v>
      </c>
      <c r="AF557" s="1">
        <f t="shared" si="192"/>
        <v>0</v>
      </c>
      <c r="AG557" s="1">
        <f t="shared" si="193"/>
        <v>0</v>
      </c>
      <c r="AH557" s="1">
        <f t="shared" si="194"/>
        <v>0</v>
      </c>
      <c r="AI557" s="1">
        <f t="shared" si="195"/>
        <v>0</v>
      </c>
      <c r="AJ557" s="3">
        <f t="shared" si="196"/>
        <v>1</v>
      </c>
      <c r="AK557" s="3">
        <f t="shared" si="197"/>
        <v>1.3786591123701606</v>
      </c>
      <c r="AL557" s="3">
        <f t="shared" si="198"/>
        <v>95.127478753541084</v>
      </c>
      <c r="AM557" s="3">
        <f t="shared" si="199"/>
        <v>142.69121813031163</v>
      </c>
      <c r="AN557" s="3">
        <f t="shared" si="200"/>
        <v>0</v>
      </c>
      <c r="AO557" s="3">
        <f t="shared" si="201"/>
        <v>142.69121813031163</v>
      </c>
      <c r="AP557" s="1" t="str">
        <f>INDEX({"EAD";"EAD";"EAD";"EAD MOOC";"EAD";"EAD";"EAD FP";"EAD";"PRESENCIAL";"PRESENCIAL";"PRESENCIAL";"PRESENCIAL"}, MATCH(CONCATENATE(E557, ".", F557),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58" spans="1:42" x14ac:dyDescent="0.25">
      <c r="A558" s="1" t="s">
        <v>27</v>
      </c>
      <c r="B558" s="1" t="s">
        <v>43</v>
      </c>
      <c r="C558" s="1" t="s">
        <v>29</v>
      </c>
      <c r="D558" s="1" t="s">
        <v>44</v>
      </c>
      <c r="E558" s="1" t="s">
        <v>120</v>
      </c>
      <c r="F558" s="1" t="s">
        <v>21</v>
      </c>
      <c r="G558" s="1" t="s">
        <v>128</v>
      </c>
      <c r="H558" s="1" t="s">
        <v>218</v>
      </c>
      <c r="I558" s="1" t="s">
        <v>124</v>
      </c>
      <c r="J558" s="1" t="s">
        <v>125</v>
      </c>
      <c r="K558" s="1" t="s">
        <v>130</v>
      </c>
      <c r="L558" s="1">
        <v>2944973</v>
      </c>
      <c r="M558" s="1" t="s">
        <v>773</v>
      </c>
      <c r="N558" s="5">
        <f t="shared" si="205"/>
        <v>44956</v>
      </c>
      <c r="O558" s="5">
        <f>DATE(2025,12,23)</f>
        <v>46014</v>
      </c>
      <c r="P558" s="5">
        <f t="shared" si="182"/>
        <v>47109</v>
      </c>
      <c r="Q558" s="1">
        <v>3973</v>
      </c>
      <c r="R558" s="1">
        <v>800</v>
      </c>
      <c r="S558" s="1">
        <f t="shared" si="183"/>
        <v>3000</v>
      </c>
      <c r="T558" s="1">
        <v>1.5</v>
      </c>
      <c r="U558" s="1" t="str">
        <f t="shared" si="184"/>
        <v>SIM</v>
      </c>
      <c r="V558" s="1">
        <f t="shared" si="185"/>
        <v>1059</v>
      </c>
      <c r="W558" s="4">
        <f t="shared" si="186"/>
        <v>2.8328611898016995</v>
      </c>
      <c r="X558" s="4">
        <f t="shared" si="187"/>
        <v>1033.9943342776203</v>
      </c>
      <c r="Y558" s="4">
        <f t="shared" si="188"/>
        <v>1.2924929178470252</v>
      </c>
      <c r="AB558" s="5">
        <f t="shared" si="189"/>
        <v>45292</v>
      </c>
      <c r="AC558" s="5">
        <f t="shared" si="190"/>
        <v>45657</v>
      </c>
      <c r="AD558" s="1">
        <v>69</v>
      </c>
      <c r="AE558" s="1">
        <f t="shared" si="191"/>
        <v>366</v>
      </c>
      <c r="AF558" s="1">
        <f t="shared" si="192"/>
        <v>0</v>
      </c>
      <c r="AG558" s="1">
        <f t="shared" si="193"/>
        <v>0</v>
      </c>
      <c r="AH558" s="1">
        <f t="shared" si="194"/>
        <v>0</v>
      </c>
      <c r="AI558" s="1">
        <f t="shared" si="195"/>
        <v>0</v>
      </c>
      <c r="AJ558" s="3">
        <f t="shared" si="196"/>
        <v>1</v>
      </c>
      <c r="AK558" s="3">
        <f t="shared" si="197"/>
        <v>1.2924929178470252</v>
      </c>
      <c r="AL558" s="3">
        <f t="shared" si="198"/>
        <v>89.182011331444741</v>
      </c>
      <c r="AM558" s="3">
        <f t="shared" si="199"/>
        <v>133.7730169971671</v>
      </c>
      <c r="AN558" s="3">
        <f t="shared" si="200"/>
        <v>0</v>
      </c>
      <c r="AO558" s="3">
        <f t="shared" si="201"/>
        <v>133.7730169971671</v>
      </c>
      <c r="AP558" s="1" t="str">
        <f>INDEX({"EAD";"EAD";"EAD";"EAD MOOC";"EAD";"EAD";"EAD FP";"EAD";"PRESENCIAL";"PRESENCIAL";"PRESENCIAL";"PRESENCIAL"}, MATCH(CONCATENATE(E558, ".", F558),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59" spans="1:42" x14ac:dyDescent="0.25">
      <c r="A559" s="1" t="s">
        <v>27</v>
      </c>
      <c r="B559" s="1" t="s">
        <v>43</v>
      </c>
      <c r="C559" s="1" t="s">
        <v>29</v>
      </c>
      <c r="D559" s="1" t="s">
        <v>44</v>
      </c>
      <c r="E559" s="1" t="s">
        <v>120</v>
      </c>
      <c r="F559" s="1" t="s">
        <v>21</v>
      </c>
      <c r="G559" s="1" t="s">
        <v>128</v>
      </c>
      <c r="H559" s="1" t="s">
        <v>582</v>
      </c>
      <c r="I559" s="1" t="s">
        <v>289</v>
      </c>
      <c r="J559" s="1" t="s">
        <v>125</v>
      </c>
      <c r="K559" s="1" t="s">
        <v>163</v>
      </c>
      <c r="L559" s="1">
        <v>2944976</v>
      </c>
      <c r="M559" s="1" t="s">
        <v>774</v>
      </c>
      <c r="N559" s="5">
        <f t="shared" si="205"/>
        <v>44956</v>
      </c>
      <c r="O559" s="5">
        <f>DATE(2024,12,23)</f>
        <v>45649</v>
      </c>
      <c r="P559" s="5">
        <f t="shared" si="182"/>
        <v>46744</v>
      </c>
      <c r="Q559" s="1">
        <v>1258</v>
      </c>
      <c r="R559" s="1">
        <v>1200</v>
      </c>
      <c r="S559" s="1">
        <f t="shared" si="183"/>
        <v>1200</v>
      </c>
      <c r="T559" s="1">
        <v>2.5</v>
      </c>
      <c r="U559" s="1" t="str">
        <f t="shared" si="184"/>
        <v>SIM</v>
      </c>
      <c r="V559" s="1">
        <f t="shared" si="185"/>
        <v>694</v>
      </c>
      <c r="W559" s="4">
        <f t="shared" si="186"/>
        <v>1.7291066282420748</v>
      </c>
      <c r="X559" s="4">
        <f t="shared" si="187"/>
        <v>631.12391930835736</v>
      </c>
      <c r="Y559" s="4">
        <f t="shared" si="188"/>
        <v>0.7889048991354467</v>
      </c>
      <c r="AB559" s="5">
        <f t="shared" si="189"/>
        <v>45292</v>
      </c>
      <c r="AC559" s="5">
        <f t="shared" si="190"/>
        <v>45657</v>
      </c>
      <c r="AD559" s="1">
        <v>12</v>
      </c>
      <c r="AE559" s="1">
        <f t="shared" si="191"/>
        <v>0</v>
      </c>
      <c r="AF559" s="1">
        <f t="shared" si="192"/>
        <v>0</v>
      </c>
      <c r="AG559" s="1">
        <f t="shared" si="193"/>
        <v>358</v>
      </c>
      <c r="AH559" s="1">
        <f t="shared" si="194"/>
        <v>0</v>
      </c>
      <c r="AI559" s="1">
        <f t="shared" si="195"/>
        <v>0</v>
      </c>
      <c r="AJ559" s="3">
        <f t="shared" si="196"/>
        <v>0.97814207650273222</v>
      </c>
      <c r="AK559" s="3">
        <f t="shared" si="197"/>
        <v>0.77166107620352431</v>
      </c>
      <c r="AL559" s="3">
        <f t="shared" si="198"/>
        <v>9.2599329144422917</v>
      </c>
      <c r="AM559" s="3">
        <f t="shared" si="199"/>
        <v>23.149832286105728</v>
      </c>
      <c r="AN559" s="3">
        <f t="shared" si="200"/>
        <v>0</v>
      </c>
      <c r="AO559" s="3">
        <f t="shared" si="201"/>
        <v>23.149832286105728</v>
      </c>
      <c r="AP559" s="1" t="str">
        <f>INDEX({"EAD";"EAD";"EAD";"EAD MOOC";"EAD";"EAD";"EAD FP";"EAD";"PRESENCIAL";"PRESENCIAL";"PRESENCIAL";"PRESENCIAL"}, MATCH(CONCATENATE(E559, ".", F559),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60" spans="1:42" x14ac:dyDescent="0.25">
      <c r="A560" s="1" t="s">
        <v>27</v>
      </c>
      <c r="B560" s="1" t="s">
        <v>43</v>
      </c>
      <c r="C560" s="1" t="s">
        <v>29</v>
      </c>
      <c r="D560" s="1" t="s">
        <v>44</v>
      </c>
      <c r="E560" s="1" t="s">
        <v>120</v>
      </c>
      <c r="F560" s="1" t="s">
        <v>21</v>
      </c>
      <c r="G560" s="1" t="s">
        <v>128</v>
      </c>
      <c r="H560" s="1" t="s">
        <v>559</v>
      </c>
      <c r="I560" s="1" t="s">
        <v>289</v>
      </c>
      <c r="J560" s="1" t="s">
        <v>125</v>
      </c>
      <c r="K560" s="1" t="s">
        <v>163</v>
      </c>
      <c r="L560" s="1">
        <v>2944977</v>
      </c>
      <c r="M560" s="1" t="s">
        <v>775</v>
      </c>
      <c r="N560" s="5">
        <f t="shared" si="205"/>
        <v>44956</v>
      </c>
      <c r="O560" s="5">
        <f>DATE(2024,12,23)</f>
        <v>45649</v>
      </c>
      <c r="P560" s="5">
        <f t="shared" si="182"/>
        <v>46744</v>
      </c>
      <c r="Q560" s="1">
        <v>1694</v>
      </c>
      <c r="R560" s="1">
        <v>1200</v>
      </c>
      <c r="S560" s="1">
        <f t="shared" si="183"/>
        <v>1200</v>
      </c>
      <c r="T560" s="1">
        <v>2.5</v>
      </c>
      <c r="U560" s="1" t="str">
        <f t="shared" si="184"/>
        <v>SIM</v>
      </c>
      <c r="V560" s="1">
        <f t="shared" si="185"/>
        <v>694</v>
      </c>
      <c r="W560" s="4">
        <f t="shared" si="186"/>
        <v>1.7291066282420748</v>
      </c>
      <c r="X560" s="4">
        <f t="shared" si="187"/>
        <v>631.12391930835736</v>
      </c>
      <c r="Y560" s="4">
        <f t="shared" si="188"/>
        <v>0.7889048991354467</v>
      </c>
      <c r="AB560" s="5">
        <f t="shared" si="189"/>
        <v>45292</v>
      </c>
      <c r="AC560" s="5">
        <f t="shared" si="190"/>
        <v>45657</v>
      </c>
      <c r="AD560" s="1">
        <v>9</v>
      </c>
      <c r="AE560" s="1">
        <f t="shared" si="191"/>
        <v>0</v>
      </c>
      <c r="AF560" s="1">
        <f t="shared" si="192"/>
        <v>0</v>
      </c>
      <c r="AG560" s="1">
        <f t="shared" si="193"/>
        <v>358</v>
      </c>
      <c r="AH560" s="1">
        <f t="shared" si="194"/>
        <v>0</v>
      </c>
      <c r="AI560" s="1">
        <f t="shared" si="195"/>
        <v>0</v>
      </c>
      <c r="AJ560" s="3">
        <f t="shared" si="196"/>
        <v>0.97814207650273222</v>
      </c>
      <c r="AK560" s="3">
        <f t="shared" si="197"/>
        <v>0.77166107620352431</v>
      </c>
      <c r="AL560" s="3">
        <f t="shared" si="198"/>
        <v>6.9449496858317188</v>
      </c>
      <c r="AM560" s="3">
        <f t="shared" si="199"/>
        <v>17.362374214579297</v>
      </c>
      <c r="AN560" s="3">
        <f t="shared" si="200"/>
        <v>0</v>
      </c>
      <c r="AO560" s="3">
        <f t="shared" si="201"/>
        <v>17.362374214579297</v>
      </c>
      <c r="AP560" s="1" t="str">
        <f>INDEX({"EAD";"EAD";"EAD";"EAD MOOC";"EAD";"EAD";"EAD FP";"EAD";"PRESENCIAL";"PRESENCIAL";"PRESENCIAL";"PRESENCIAL"}, MATCH(CONCATENATE(E560, ".", F560),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61" spans="1:42" x14ac:dyDescent="0.25">
      <c r="A561" s="1" t="s">
        <v>27</v>
      </c>
      <c r="B561" s="1" t="s">
        <v>43</v>
      </c>
      <c r="C561" s="1" t="s">
        <v>29</v>
      </c>
      <c r="D561" s="1" t="s">
        <v>44</v>
      </c>
      <c r="E561" s="1" t="s">
        <v>120</v>
      </c>
      <c r="F561" s="1" t="s">
        <v>21</v>
      </c>
      <c r="G561" s="1" t="s">
        <v>128</v>
      </c>
      <c r="H561" s="1" t="s">
        <v>526</v>
      </c>
      <c r="I561" s="1" t="s">
        <v>503</v>
      </c>
      <c r="J561" s="1" t="s">
        <v>125</v>
      </c>
      <c r="K561" s="1" t="s">
        <v>163</v>
      </c>
      <c r="L561" s="1">
        <v>2944978</v>
      </c>
      <c r="M561" s="1" t="s">
        <v>776</v>
      </c>
      <c r="N561" s="5">
        <f t="shared" si="205"/>
        <v>44956</v>
      </c>
      <c r="O561" s="5">
        <f>DATE(2024,12,23)</f>
        <v>45649</v>
      </c>
      <c r="P561" s="5">
        <f t="shared" si="182"/>
        <v>46744</v>
      </c>
      <c r="Q561" s="1">
        <v>1707</v>
      </c>
      <c r="R561" s="1">
        <v>1200</v>
      </c>
      <c r="S561" s="1">
        <f t="shared" si="183"/>
        <v>1200</v>
      </c>
      <c r="T561" s="1">
        <v>2.5</v>
      </c>
      <c r="U561" s="1" t="str">
        <f t="shared" si="184"/>
        <v>SIM</v>
      </c>
      <c r="V561" s="1">
        <f t="shared" si="185"/>
        <v>694</v>
      </c>
      <c r="W561" s="4">
        <f t="shared" si="186"/>
        <v>1.7291066282420748</v>
      </c>
      <c r="X561" s="4">
        <f t="shared" si="187"/>
        <v>631.12391930835736</v>
      </c>
      <c r="Y561" s="4">
        <f t="shared" si="188"/>
        <v>0.7889048991354467</v>
      </c>
      <c r="AB561" s="5">
        <f t="shared" si="189"/>
        <v>45292</v>
      </c>
      <c r="AC561" s="5">
        <f t="shared" si="190"/>
        <v>45657</v>
      </c>
      <c r="AD561" s="1">
        <v>16</v>
      </c>
      <c r="AE561" s="1">
        <f t="shared" si="191"/>
        <v>0</v>
      </c>
      <c r="AF561" s="1">
        <f t="shared" si="192"/>
        <v>0</v>
      </c>
      <c r="AG561" s="1">
        <f t="shared" si="193"/>
        <v>358</v>
      </c>
      <c r="AH561" s="1">
        <f t="shared" si="194"/>
        <v>0</v>
      </c>
      <c r="AI561" s="1">
        <f t="shared" si="195"/>
        <v>0</v>
      </c>
      <c r="AJ561" s="3">
        <f t="shared" si="196"/>
        <v>0.97814207650273222</v>
      </c>
      <c r="AK561" s="3">
        <f t="shared" si="197"/>
        <v>0.77166107620352431</v>
      </c>
      <c r="AL561" s="3">
        <f t="shared" si="198"/>
        <v>12.346577219256389</v>
      </c>
      <c r="AM561" s="3">
        <f t="shared" si="199"/>
        <v>30.866443048140972</v>
      </c>
      <c r="AN561" s="3">
        <f t="shared" si="200"/>
        <v>0</v>
      </c>
      <c r="AO561" s="3">
        <f t="shared" si="201"/>
        <v>30.866443048140972</v>
      </c>
      <c r="AP561" s="1" t="str">
        <f>INDEX({"EAD";"EAD";"EAD";"EAD MOOC";"EAD";"EAD";"EAD FP";"EAD";"PRESENCIAL";"PRESENCIAL";"PRESENCIAL";"PRESENCIAL"}, MATCH(CONCATENATE(E561, ".", F561),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62" spans="1:42" x14ac:dyDescent="0.25">
      <c r="A562" s="1" t="s">
        <v>27</v>
      </c>
      <c r="B562" s="1" t="s">
        <v>43</v>
      </c>
      <c r="C562" s="1" t="s">
        <v>29</v>
      </c>
      <c r="D562" s="1" t="s">
        <v>44</v>
      </c>
      <c r="E562" s="1" t="s">
        <v>120</v>
      </c>
      <c r="F562" s="1" t="s">
        <v>21</v>
      </c>
      <c r="G562" s="1" t="s">
        <v>128</v>
      </c>
      <c r="H562" s="1" t="s">
        <v>586</v>
      </c>
      <c r="I562" s="1" t="s">
        <v>503</v>
      </c>
      <c r="J562" s="1" t="s">
        <v>125</v>
      </c>
      <c r="K562" s="1" t="s">
        <v>163</v>
      </c>
      <c r="L562" s="1">
        <v>2944980</v>
      </c>
      <c r="M562" s="1" t="s">
        <v>777</v>
      </c>
      <c r="N562" s="5">
        <f t="shared" si="205"/>
        <v>44956</v>
      </c>
      <c r="O562" s="5">
        <f>DATE(2024,12,23)</f>
        <v>45649</v>
      </c>
      <c r="P562" s="5">
        <f t="shared" si="182"/>
        <v>46744</v>
      </c>
      <c r="Q562" s="1">
        <v>1703</v>
      </c>
      <c r="R562" s="1">
        <v>1200</v>
      </c>
      <c r="S562" s="1">
        <f t="shared" si="183"/>
        <v>1200</v>
      </c>
      <c r="T562" s="1">
        <v>2.5</v>
      </c>
      <c r="U562" s="1" t="str">
        <f t="shared" si="184"/>
        <v>SIM</v>
      </c>
      <c r="V562" s="1">
        <f t="shared" si="185"/>
        <v>694</v>
      </c>
      <c r="W562" s="4">
        <f t="shared" si="186"/>
        <v>1.7291066282420748</v>
      </c>
      <c r="X562" s="4">
        <f t="shared" si="187"/>
        <v>631.12391930835736</v>
      </c>
      <c r="Y562" s="4">
        <f t="shared" si="188"/>
        <v>0.7889048991354467</v>
      </c>
      <c r="AB562" s="5">
        <f t="shared" si="189"/>
        <v>45292</v>
      </c>
      <c r="AC562" s="5">
        <f t="shared" si="190"/>
        <v>45657</v>
      </c>
      <c r="AD562" s="1">
        <v>11</v>
      </c>
      <c r="AE562" s="1">
        <f t="shared" si="191"/>
        <v>0</v>
      </c>
      <c r="AF562" s="1">
        <f t="shared" si="192"/>
        <v>0</v>
      </c>
      <c r="AG562" s="1">
        <f t="shared" si="193"/>
        <v>358</v>
      </c>
      <c r="AH562" s="1">
        <f t="shared" si="194"/>
        <v>0</v>
      </c>
      <c r="AI562" s="1">
        <f t="shared" si="195"/>
        <v>0</v>
      </c>
      <c r="AJ562" s="3">
        <f t="shared" si="196"/>
        <v>0.97814207650273222</v>
      </c>
      <c r="AK562" s="3">
        <f t="shared" si="197"/>
        <v>0.77166107620352431</v>
      </c>
      <c r="AL562" s="3">
        <f t="shared" si="198"/>
        <v>8.4882718382387665</v>
      </c>
      <c r="AM562" s="3">
        <f t="shared" si="199"/>
        <v>21.220679595596916</v>
      </c>
      <c r="AN562" s="3">
        <f t="shared" si="200"/>
        <v>0</v>
      </c>
      <c r="AO562" s="3">
        <f t="shared" si="201"/>
        <v>21.220679595596916</v>
      </c>
      <c r="AP562" s="1" t="str">
        <f>INDEX({"EAD";"EAD";"EAD";"EAD MOOC";"EAD";"EAD";"EAD FP";"EAD";"PRESENCIAL";"PRESENCIAL";"PRESENCIAL";"PRESENCIAL"}, MATCH(CONCATENATE(E562, ".", F562),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63" spans="1:42" x14ac:dyDescent="0.25">
      <c r="A563" s="1" t="s">
        <v>27</v>
      </c>
      <c r="B563" s="1" t="s">
        <v>43</v>
      </c>
      <c r="C563" s="1" t="s">
        <v>29</v>
      </c>
      <c r="D563" s="1" t="s">
        <v>44</v>
      </c>
      <c r="E563" s="1" t="s">
        <v>120</v>
      </c>
      <c r="F563" s="1" t="s">
        <v>21</v>
      </c>
      <c r="G563" s="1" t="s">
        <v>121</v>
      </c>
      <c r="H563" s="1" t="s">
        <v>506</v>
      </c>
      <c r="I563" s="1" t="s">
        <v>209</v>
      </c>
      <c r="J563" s="1" t="s">
        <v>125</v>
      </c>
      <c r="K563" s="1" t="s">
        <v>109</v>
      </c>
      <c r="L563" s="1">
        <v>2945223</v>
      </c>
      <c r="M563" s="1" t="s">
        <v>778</v>
      </c>
      <c r="N563" s="5">
        <f t="shared" si="205"/>
        <v>44956</v>
      </c>
      <c r="O563" s="5">
        <f>DATE(2027,12,23)</f>
        <v>46744</v>
      </c>
      <c r="P563" s="5">
        <f t="shared" si="182"/>
        <v>47839</v>
      </c>
      <c r="Q563" s="1">
        <v>4460</v>
      </c>
      <c r="R563" s="1">
        <v>3200</v>
      </c>
      <c r="S563" s="1">
        <f t="shared" si="183"/>
        <v>3200</v>
      </c>
      <c r="T563" s="1">
        <v>2.5</v>
      </c>
      <c r="U563" s="1" t="str">
        <f t="shared" si="184"/>
        <v>SIM</v>
      </c>
      <c r="V563" s="1">
        <f t="shared" si="185"/>
        <v>1789</v>
      </c>
      <c r="W563" s="4">
        <f t="shared" si="186"/>
        <v>1.7887087758524316</v>
      </c>
      <c r="X563" s="4">
        <f t="shared" si="187"/>
        <v>652.8787031861375</v>
      </c>
      <c r="Y563" s="4">
        <f t="shared" si="188"/>
        <v>0.8160983789826719</v>
      </c>
      <c r="AB563" s="5">
        <f t="shared" si="189"/>
        <v>45292</v>
      </c>
      <c r="AC563" s="5">
        <f t="shared" si="190"/>
        <v>45657</v>
      </c>
      <c r="AD563" s="1">
        <v>30</v>
      </c>
      <c r="AE563" s="1">
        <f t="shared" si="191"/>
        <v>366</v>
      </c>
      <c r="AF563" s="1">
        <f t="shared" si="192"/>
        <v>0</v>
      </c>
      <c r="AG563" s="1">
        <f t="shared" si="193"/>
        <v>0</v>
      </c>
      <c r="AH563" s="1">
        <f t="shared" si="194"/>
        <v>0</v>
      </c>
      <c r="AI563" s="1">
        <f t="shared" si="195"/>
        <v>0</v>
      </c>
      <c r="AJ563" s="3">
        <f t="shared" si="196"/>
        <v>1</v>
      </c>
      <c r="AK563" s="3">
        <f t="shared" si="197"/>
        <v>0.8160983789826719</v>
      </c>
      <c r="AL563" s="3">
        <f t="shared" si="198"/>
        <v>24.482951369480158</v>
      </c>
      <c r="AM563" s="3">
        <f t="shared" si="199"/>
        <v>61.207378423700398</v>
      </c>
      <c r="AN563" s="3">
        <f t="shared" si="200"/>
        <v>0</v>
      </c>
      <c r="AO563" s="3">
        <f t="shared" si="201"/>
        <v>61.207378423700398</v>
      </c>
      <c r="AP563" s="1" t="str">
        <f>INDEX({"EAD";"EAD";"EAD";"EAD MOOC";"EAD";"EAD";"EAD FP";"EAD";"PRESENCIAL";"PRESENCIAL";"PRESENCIAL";"PRESENCIAL"}, MATCH(CONCATENATE(E563, ".", F563),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64" spans="1:42" x14ac:dyDescent="0.25">
      <c r="A564" s="1" t="s">
        <v>27</v>
      </c>
      <c r="B564" s="1" t="s">
        <v>43</v>
      </c>
      <c r="C564" s="1" t="s">
        <v>29</v>
      </c>
      <c r="D564" s="1" t="s">
        <v>44</v>
      </c>
      <c r="E564" s="1" t="s">
        <v>120</v>
      </c>
      <c r="F564" s="1" t="s">
        <v>21</v>
      </c>
      <c r="G564" s="1" t="s">
        <v>121</v>
      </c>
      <c r="H564" s="1" t="s">
        <v>508</v>
      </c>
      <c r="I564" s="1" t="s">
        <v>503</v>
      </c>
      <c r="J564" s="1" t="s">
        <v>125</v>
      </c>
      <c r="K564" s="1" t="s">
        <v>109</v>
      </c>
      <c r="L564" s="1">
        <v>2945368</v>
      </c>
      <c r="M564" s="1" t="s">
        <v>779</v>
      </c>
      <c r="N564" s="5">
        <f t="shared" si="205"/>
        <v>44956</v>
      </c>
      <c r="O564" s="5">
        <f>DATE(2027,12,23)</f>
        <v>46744</v>
      </c>
      <c r="P564" s="5">
        <f t="shared" si="182"/>
        <v>47839</v>
      </c>
      <c r="Q564" s="1">
        <v>4610</v>
      </c>
      <c r="R564" s="1">
        <v>3600</v>
      </c>
      <c r="S564" s="1">
        <f t="shared" si="183"/>
        <v>3600</v>
      </c>
      <c r="T564" s="1">
        <v>2.5</v>
      </c>
      <c r="U564" s="1" t="str">
        <f t="shared" si="184"/>
        <v>SIM</v>
      </c>
      <c r="V564" s="1">
        <f t="shared" si="185"/>
        <v>1789</v>
      </c>
      <c r="W564" s="4">
        <f t="shared" si="186"/>
        <v>2.0122973728339857</v>
      </c>
      <c r="X564" s="4">
        <f t="shared" si="187"/>
        <v>734.4885410844048</v>
      </c>
      <c r="Y564" s="4">
        <f t="shared" si="188"/>
        <v>0.91811067635550603</v>
      </c>
      <c r="AB564" s="5">
        <f t="shared" si="189"/>
        <v>45292</v>
      </c>
      <c r="AC564" s="5">
        <f t="shared" si="190"/>
        <v>45657</v>
      </c>
      <c r="AD564" s="1">
        <v>22</v>
      </c>
      <c r="AE564" s="1">
        <f t="shared" si="191"/>
        <v>366</v>
      </c>
      <c r="AF564" s="1">
        <f t="shared" si="192"/>
        <v>0</v>
      </c>
      <c r="AG564" s="1">
        <f t="shared" si="193"/>
        <v>0</v>
      </c>
      <c r="AH564" s="1">
        <f t="shared" si="194"/>
        <v>0</v>
      </c>
      <c r="AI564" s="1">
        <f t="shared" si="195"/>
        <v>0</v>
      </c>
      <c r="AJ564" s="3">
        <f t="shared" si="196"/>
        <v>1</v>
      </c>
      <c r="AK564" s="3">
        <f t="shared" si="197"/>
        <v>0.91811067635550603</v>
      </c>
      <c r="AL564" s="3">
        <f t="shared" si="198"/>
        <v>20.198434879821132</v>
      </c>
      <c r="AM564" s="3">
        <f t="shared" si="199"/>
        <v>50.496087199552832</v>
      </c>
      <c r="AN564" s="3">
        <f t="shared" si="200"/>
        <v>0</v>
      </c>
      <c r="AO564" s="3">
        <f t="shared" si="201"/>
        <v>50.496087199552832</v>
      </c>
      <c r="AP564" s="1" t="str">
        <f>INDEX({"EAD";"EAD";"EAD";"EAD MOOC";"EAD";"EAD";"EAD FP";"EAD";"PRESENCIAL";"PRESENCIAL";"PRESENCIAL";"PRESENCIAL"}, MATCH(CONCATENATE(E564, ".", F564),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65" spans="1:42" x14ac:dyDescent="0.25">
      <c r="A565" s="1" t="s">
        <v>27</v>
      </c>
      <c r="B565" s="1" t="s">
        <v>43</v>
      </c>
      <c r="C565" s="1" t="s">
        <v>29</v>
      </c>
      <c r="D565" s="1" t="s">
        <v>44</v>
      </c>
      <c r="E565" s="1" t="s">
        <v>120</v>
      </c>
      <c r="F565" s="1" t="s">
        <v>21</v>
      </c>
      <c r="G565" s="1" t="s">
        <v>121</v>
      </c>
      <c r="H565" s="1" t="s">
        <v>662</v>
      </c>
      <c r="I565" s="1" t="s">
        <v>503</v>
      </c>
      <c r="J565" s="1" t="s">
        <v>125</v>
      </c>
      <c r="K565" s="1" t="s">
        <v>109</v>
      </c>
      <c r="L565" s="1">
        <v>2945369</v>
      </c>
      <c r="M565" s="1" t="s">
        <v>780</v>
      </c>
      <c r="N565" s="5">
        <f t="shared" si="205"/>
        <v>44956</v>
      </c>
      <c r="O565" s="5">
        <f>DATE(2027,12,23)</f>
        <v>46744</v>
      </c>
      <c r="P565" s="5">
        <f t="shared" si="182"/>
        <v>47839</v>
      </c>
      <c r="Q565" s="1">
        <v>3662</v>
      </c>
      <c r="R565" s="1">
        <v>3600</v>
      </c>
      <c r="S565" s="1">
        <f t="shared" si="183"/>
        <v>3600</v>
      </c>
      <c r="T565" s="1">
        <v>2.5</v>
      </c>
      <c r="U565" s="1" t="str">
        <f t="shared" si="184"/>
        <v>SIM</v>
      </c>
      <c r="V565" s="1">
        <f t="shared" si="185"/>
        <v>1789</v>
      </c>
      <c r="W565" s="4">
        <f t="shared" si="186"/>
        <v>2.0122973728339857</v>
      </c>
      <c r="X565" s="4">
        <f t="shared" si="187"/>
        <v>734.4885410844048</v>
      </c>
      <c r="Y565" s="4">
        <f t="shared" si="188"/>
        <v>0.91811067635550603</v>
      </c>
      <c r="AB565" s="5">
        <f t="shared" si="189"/>
        <v>45292</v>
      </c>
      <c r="AC565" s="5">
        <f t="shared" si="190"/>
        <v>45657</v>
      </c>
      <c r="AD565" s="1">
        <v>39</v>
      </c>
      <c r="AE565" s="1">
        <f t="shared" si="191"/>
        <v>366</v>
      </c>
      <c r="AF565" s="1">
        <f t="shared" si="192"/>
        <v>0</v>
      </c>
      <c r="AG565" s="1">
        <f t="shared" si="193"/>
        <v>0</v>
      </c>
      <c r="AH565" s="1">
        <f t="shared" si="194"/>
        <v>0</v>
      </c>
      <c r="AI565" s="1">
        <f t="shared" si="195"/>
        <v>0</v>
      </c>
      <c r="AJ565" s="3">
        <f t="shared" si="196"/>
        <v>1</v>
      </c>
      <c r="AK565" s="3">
        <f t="shared" si="197"/>
        <v>0.91811067635550603</v>
      </c>
      <c r="AL565" s="3">
        <f t="shared" si="198"/>
        <v>35.806316377864732</v>
      </c>
      <c r="AM565" s="3">
        <f t="shared" si="199"/>
        <v>89.515790944661831</v>
      </c>
      <c r="AN565" s="3">
        <f t="shared" si="200"/>
        <v>0</v>
      </c>
      <c r="AO565" s="3">
        <f t="shared" si="201"/>
        <v>89.515790944661831</v>
      </c>
      <c r="AP565" s="1" t="str">
        <f>INDEX({"EAD";"EAD";"EAD";"EAD MOOC";"EAD";"EAD";"EAD FP";"EAD";"PRESENCIAL";"PRESENCIAL";"PRESENCIAL";"PRESENCIAL"}, MATCH(CONCATENATE(E565, ".", F565),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66" spans="1:42" x14ac:dyDescent="0.25">
      <c r="A566" s="1" t="s">
        <v>27</v>
      </c>
      <c r="B566" s="1" t="s">
        <v>43</v>
      </c>
      <c r="C566" s="1" t="s">
        <v>29</v>
      </c>
      <c r="D566" s="1" t="s">
        <v>44</v>
      </c>
      <c r="E566" s="1" t="s">
        <v>120</v>
      </c>
      <c r="F566" s="1" t="s">
        <v>21</v>
      </c>
      <c r="G566" s="1" t="s">
        <v>121</v>
      </c>
      <c r="H566" s="1" t="s">
        <v>495</v>
      </c>
      <c r="I566" s="1" t="s">
        <v>124</v>
      </c>
      <c r="J566" s="1" t="s">
        <v>125</v>
      </c>
      <c r="K566" s="1" t="s">
        <v>109</v>
      </c>
      <c r="L566" s="1">
        <v>2945370</v>
      </c>
      <c r="M566" s="1" t="s">
        <v>781</v>
      </c>
      <c r="N566" s="5">
        <f t="shared" si="205"/>
        <v>44956</v>
      </c>
      <c r="O566" s="5">
        <f>DATE(2025,12,23)</f>
        <v>46014</v>
      </c>
      <c r="P566" s="5">
        <f t="shared" si="182"/>
        <v>47109</v>
      </c>
      <c r="Q566" s="1">
        <v>2587</v>
      </c>
      <c r="R566" s="1">
        <v>2400</v>
      </c>
      <c r="S566" s="1">
        <f t="shared" si="183"/>
        <v>2400</v>
      </c>
      <c r="T566" s="1">
        <v>1</v>
      </c>
      <c r="U566" s="1" t="str">
        <f t="shared" si="184"/>
        <v>SIM</v>
      </c>
      <c r="V566" s="1">
        <f t="shared" si="185"/>
        <v>1059</v>
      </c>
      <c r="W566" s="4">
        <f t="shared" si="186"/>
        <v>2.2662889518413598</v>
      </c>
      <c r="X566" s="4">
        <f t="shared" si="187"/>
        <v>827.19546742209639</v>
      </c>
      <c r="Y566" s="4">
        <f t="shared" si="188"/>
        <v>1.0339943342776206</v>
      </c>
      <c r="AB566" s="5">
        <f t="shared" si="189"/>
        <v>45292</v>
      </c>
      <c r="AC566" s="5">
        <f t="shared" si="190"/>
        <v>45657</v>
      </c>
      <c r="AD566" s="1">
        <v>24</v>
      </c>
      <c r="AE566" s="1">
        <f t="shared" si="191"/>
        <v>366</v>
      </c>
      <c r="AF566" s="1">
        <f t="shared" si="192"/>
        <v>0</v>
      </c>
      <c r="AG566" s="1">
        <f t="shared" si="193"/>
        <v>0</v>
      </c>
      <c r="AH566" s="1">
        <f t="shared" si="194"/>
        <v>0</v>
      </c>
      <c r="AI566" s="1">
        <f t="shared" si="195"/>
        <v>0</v>
      </c>
      <c r="AJ566" s="3">
        <f t="shared" si="196"/>
        <v>1</v>
      </c>
      <c r="AK566" s="3">
        <f t="shared" si="197"/>
        <v>1.0339943342776206</v>
      </c>
      <c r="AL566" s="3">
        <f t="shared" si="198"/>
        <v>24.815864022662893</v>
      </c>
      <c r="AM566" s="3">
        <f t="shared" si="199"/>
        <v>24.815864022662893</v>
      </c>
      <c r="AN566" s="3">
        <f t="shared" si="200"/>
        <v>0</v>
      </c>
      <c r="AO566" s="3">
        <f t="shared" si="201"/>
        <v>24.815864022662893</v>
      </c>
      <c r="AP566" s="1" t="str">
        <f>INDEX({"EAD";"EAD";"EAD";"EAD MOOC";"EAD";"EAD";"EAD FP";"EAD";"PRESENCIAL";"PRESENCIAL";"PRESENCIAL";"PRESENCIAL"}, MATCH(CONCATENATE(E566, ".", F566),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67" spans="1:42" x14ac:dyDescent="0.25">
      <c r="A567" s="1" t="s">
        <v>27</v>
      </c>
      <c r="B567" s="1" t="s">
        <v>43</v>
      </c>
      <c r="C567" s="1" t="s">
        <v>29</v>
      </c>
      <c r="D567" s="1" t="s">
        <v>44</v>
      </c>
      <c r="E567" s="1" t="s">
        <v>120</v>
      </c>
      <c r="F567" s="1" t="s">
        <v>21</v>
      </c>
      <c r="G567" s="1" t="s">
        <v>121</v>
      </c>
      <c r="H567" s="1" t="s">
        <v>537</v>
      </c>
      <c r="I567" s="1" t="s">
        <v>187</v>
      </c>
      <c r="J567" s="1" t="s">
        <v>125</v>
      </c>
      <c r="K567" s="1" t="s">
        <v>109</v>
      </c>
      <c r="L567" s="1">
        <v>2945372</v>
      </c>
      <c r="M567" s="1" t="s">
        <v>782</v>
      </c>
      <c r="N567" s="5">
        <f t="shared" si="205"/>
        <v>44956</v>
      </c>
      <c r="O567" s="5">
        <f>DATE(2025,12,23)</f>
        <v>46014</v>
      </c>
      <c r="P567" s="5">
        <f t="shared" si="182"/>
        <v>47109</v>
      </c>
      <c r="Q567" s="1">
        <v>2600</v>
      </c>
      <c r="R567" s="1">
        <v>2400</v>
      </c>
      <c r="S567" s="1">
        <f t="shared" si="183"/>
        <v>2400</v>
      </c>
      <c r="T567" s="1">
        <v>1</v>
      </c>
      <c r="U567" s="1" t="str">
        <f t="shared" si="184"/>
        <v>SIM</v>
      </c>
      <c r="V567" s="1">
        <f t="shared" si="185"/>
        <v>1059</v>
      </c>
      <c r="W567" s="4">
        <f t="shared" si="186"/>
        <v>2.2662889518413598</v>
      </c>
      <c r="X567" s="4">
        <f t="shared" si="187"/>
        <v>827.19546742209639</v>
      </c>
      <c r="Y567" s="4">
        <f t="shared" si="188"/>
        <v>1.0339943342776206</v>
      </c>
      <c r="AB567" s="5">
        <f t="shared" si="189"/>
        <v>45292</v>
      </c>
      <c r="AC567" s="5">
        <f t="shared" si="190"/>
        <v>45657</v>
      </c>
      <c r="AD567" s="1">
        <v>30</v>
      </c>
      <c r="AE567" s="1">
        <f t="shared" si="191"/>
        <v>366</v>
      </c>
      <c r="AF567" s="1">
        <f t="shared" si="192"/>
        <v>0</v>
      </c>
      <c r="AG567" s="1">
        <f t="shared" si="193"/>
        <v>0</v>
      </c>
      <c r="AH567" s="1">
        <f t="shared" si="194"/>
        <v>0</v>
      </c>
      <c r="AI567" s="1">
        <f t="shared" si="195"/>
        <v>0</v>
      </c>
      <c r="AJ567" s="3">
        <f t="shared" si="196"/>
        <v>1</v>
      </c>
      <c r="AK567" s="3">
        <f t="shared" si="197"/>
        <v>1.0339943342776206</v>
      </c>
      <c r="AL567" s="3">
        <f t="shared" si="198"/>
        <v>31.019830028328617</v>
      </c>
      <c r="AM567" s="3">
        <f t="shared" si="199"/>
        <v>31.019830028328617</v>
      </c>
      <c r="AN567" s="3">
        <f t="shared" si="200"/>
        <v>0</v>
      </c>
      <c r="AO567" s="3">
        <f t="shared" si="201"/>
        <v>31.019830028328617</v>
      </c>
      <c r="AP567" s="1" t="str">
        <f>INDEX({"EAD";"EAD";"EAD";"EAD MOOC";"EAD";"EAD";"EAD FP";"EAD";"PRESENCIAL";"PRESENCIAL";"PRESENCIAL";"PRESENCIAL"}, MATCH(CONCATENATE(E567, ".", F567),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68" spans="1:42" x14ac:dyDescent="0.25">
      <c r="A568" s="1" t="s">
        <v>27</v>
      </c>
      <c r="B568" s="1" t="s">
        <v>43</v>
      </c>
      <c r="C568" s="1" t="s">
        <v>29</v>
      </c>
      <c r="D568" s="1" t="s">
        <v>44</v>
      </c>
      <c r="E568" s="1" t="s">
        <v>120</v>
      </c>
      <c r="F568" s="1" t="s">
        <v>21</v>
      </c>
      <c r="G568" s="1" t="s">
        <v>278</v>
      </c>
      <c r="H568" s="1" t="s">
        <v>629</v>
      </c>
      <c r="I568" s="1" t="s">
        <v>172</v>
      </c>
      <c r="J568" s="1" t="s">
        <v>125</v>
      </c>
      <c r="K568" s="1" t="s">
        <v>109</v>
      </c>
      <c r="L568" s="1">
        <v>2945374</v>
      </c>
      <c r="M568" s="1" t="s">
        <v>783</v>
      </c>
      <c r="N568" s="5">
        <f t="shared" si="205"/>
        <v>44956</v>
      </c>
      <c r="O568" s="5">
        <f>DATE(2026,12,23)</f>
        <v>46379</v>
      </c>
      <c r="P568" s="5">
        <f t="shared" si="182"/>
        <v>47474</v>
      </c>
      <c r="Q568" s="1">
        <v>3231</v>
      </c>
      <c r="R568" s="1">
        <v>3200</v>
      </c>
      <c r="S568" s="1">
        <f t="shared" si="183"/>
        <v>3200</v>
      </c>
      <c r="T568" s="1">
        <v>2.5</v>
      </c>
      <c r="U568" s="1" t="str">
        <f t="shared" si="184"/>
        <v>SIM</v>
      </c>
      <c r="V568" s="1">
        <f t="shared" si="185"/>
        <v>1424</v>
      </c>
      <c r="W568" s="4">
        <f t="shared" si="186"/>
        <v>2.2471910112359552</v>
      </c>
      <c r="X568" s="4">
        <f t="shared" si="187"/>
        <v>820.2247191011237</v>
      </c>
      <c r="Y568" s="4">
        <f t="shared" si="188"/>
        <v>1.0252808988764046</v>
      </c>
      <c r="AB568" s="5">
        <f t="shared" si="189"/>
        <v>45292</v>
      </c>
      <c r="AC568" s="5">
        <f t="shared" si="190"/>
        <v>45657</v>
      </c>
      <c r="AD568" s="1">
        <v>30</v>
      </c>
      <c r="AE568" s="1">
        <f t="shared" si="191"/>
        <v>366</v>
      </c>
      <c r="AF568" s="1">
        <f t="shared" si="192"/>
        <v>0</v>
      </c>
      <c r="AG568" s="1">
        <f t="shared" si="193"/>
        <v>0</v>
      </c>
      <c r="AH568" s="1">
        <f t="shared" si="194"/>
        <v>0</v>
      </c>
      <c r="AI568" s="1">
        <f t="shared" si="195"/>
        <v>0</v>
      </c>
      <c r="AJ568" s="3">
        <f t="shared" si="196"/>
        <v>1</v>
      </c>
      <c r="AK568" s="3">
        <f t="shared" si="197"/>
        <v>1.0252808988764046</v>
      </c>
      <c r="AL568" s="3">
        <f t="shared" si="198"/>
        <v>30.758426966292138</v>
      </c>
      <c r="AM568" s="3">
        <f t="shared" si="199"/>
        <v>76.896067415730343</v>
      </c>
      <c r="AN568" s="3">
        <f t="shared" si="200"/>
        <v>0</v>
      </c>
      <c r="AO568" s="3">
        <f t="shared" si="201"/>
        <v>76.896067415730343</v>
      </c>
      <c r="AP568" s="1" t="str">
        <f>INDEX({"EAD";"EAD";"EAD";"EAD MOOC";"EAD";"EAD";"EAD FP";"EAD";"PRESENCIAL";"PRESENCIAL";"PRESENCIAL";"PRESENCIAL"}, MATCH(CONCATENATE(E568, ".", F568),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69" spans="1:42" x14ac:dyDescent="0.25">
      <c r="A569" s="1" t="s">
        <v>27</v>
      </c>
      <c r="B569" s="1" t="s">
        <v>43</v>
      </c>
      <c r="C569" s="1" t="s">
        <v>29</v>
      </c>
      <c r="D569" s="1" t="s">
        <v>44</v>
      </c>
      <c r="E569" s="1" t="s">
        <v>120</v>
      </c>
      <c r="F569" s="1" t="s">
        <v>21</v>
      </c>
      <c r="G569" s="1" t="s">
        <v>140</v>
      </c>
      <c r="H569" s="1" t="s">
        <v>529</v>
      </c>
      <c r="I569" s="1" t="s">
        <v>289</v>
      </c>
      <c r="J569" s="1" t="s">
        <v>125</v>
      </c>
      <c r="K569" s="1" t="s">
        <v>109</v>
      </c>
      <c r="L569" s="1">
        <v>2945377</v>
      </c>
      <c r="M569" s="1" t="s">
        <v>784</v>
      </c>
      <c r="N569" s="5">
        <f t="shared" si="205"/>
        <v>44956</v>
      </c>
      <c r="O569" s="5">
        <f>DATE(2026,6,26)</f>
        <v>46199</v>
      </c>
      <c r="P569" s="5">
        <f t="shared" si="182"/>
        <v>47294</v>
      </c>
      <c r="Q569" s="1">
        <v>2562</v>
      </c>
      <c r="R569" s="1">
        <v>2400</v>
      </c>
      <c r="S569" s="1">
        <f t="shared" si="183"/>
        <v>2400</v>
      </c>
      <c r="T569" s="1">
        <v>2.5</v>
      </c>
      <c r="U569" s="1" t="str">
        <f t="shared" si="184"/>
        <v>SIM</v>
      </c>
      <c r="V569" s="1">
        <f t="shared" si="185"/>
        <v>1244</v>
      </c>
      <c r="W569" s="4">
        <f t="shared" si="186"/>
        <v>1.9292604501607717</v>
      </c>
      <c r="X569" s="4">
        <f t="shared" si="187"/>
        <v>704.18006430868172</v>
      </c>
      <c r="Y569" s="4">
        <f t="shared" si="188"/>
        <v>0.88022508038585212</v>
      </c>
      <c r="AB569" s="5">
        <f t="shared" si="189"/>
        <v>45292</v>
      </c>
      <c r="AC569" s="5">
        <f t="shared" si="190"/>
        <v>45657</v>
      </c>
      <c r="AD569" s="1">
        <v>19</v>
      </c>
      <c r="AE569" s="1">
        <f t="shared" si="191"/>
        <v>366</v>
      </c>
      <c r="AF569" s="1">
        <f t="shared" si="192"/>
        <v>0</v>
      </c>
      <c r="AG569" s="1">
        <f t="shared" si="193"/>
        <v>0</v>
      </c>
      <c r="AH569" s="1">
        <f t="shared" si="194"/>
        <v>0</v>
      </c>
      <c r="AI569" s="1">
        <f t="shared" si="195"/>
        <v>0</v>
      </c>
      <c r="AJ569" s="3">
        <f t="shared" si="196"/>
        <v>1</v>
      </c>
      <c r="AK569" s="3">
        <f t="shared" si="197"/>
        <v>0.88022508038585212</v>
      </c>
      <c r="AL569" s="3">
        <f t="shared" si="198"/>
        <v>16.724276527331192</v>
      </c>
      <c r="AM569" s="3">
        <f t="shared" si="199"/>
        <v>41.810691318327983</v>
      </c>
      <c r="AN569" s="3">
        <f t="shared" si="200"/>
        <v>0</v>
      </c>
      <c r="AO569" s="3">
        <f t="shared" si="201"/>
        <v>41.810691318327983</v>
      </c>
      <c r="AP569" s="1" t="str">
        <f>INDEX({"EAD";"EAD";"EAD";"EAD MOOC";"EAD";"EAD";"EAD FP";"EAD";"PRESENCIAL";"PRESENCIAL";"PRESENCIAL";"PRESENCIAL"}, MATCH(CONCATENATE(E569, ".", F569),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70" spans="1:42" x14ac:dyDescent="0.25">
      <c r="A570" s="1" t="s">
        <v>27</v>
      </c>
      <c r="B570" s="1" t="s">
        <v>43</v>
      </c>
      <c r="C570" s="1" t="s">
        <v>29</v>
      </c>
      <c r="D570" s="1" t="s">
        <v>44</v>
      </c>
      <c r="E570" s="1" t="s">
        <v>120</v>
      </c>
      <c r="F570" s="1" t="s">
        <v>21</v>
      </c>
      <c r="G570" s="1" t="s">
        <v>140</v>
      </c>
      <c r="H570" s="1" t="s">
        <v>534</v>
      </c>
      <c r="I570" s="1" t="s">
        <v>289</v>
      </c>
      <c r="J570" s="1" t="s">
        <v>125</v>
      </c>
      <c r="K570" s="1" t="s">
        <v>109</v>
      </c>
      <c r="L570" s="1">
        <v>2945379</v>
      </c>
      <c r="M570" s="1" t="s">
        <v>785</v>
      </c>
      <c r="N570" s="5">
        <f t="shared" si="205"/>
        <v>44956</v>
      </c>
      <c r="O570" s="5">
        <f>DATE(2025,12,23)</f>
        <v>46014</v>
      </c>
      <c r="P570" s="5">
        <f t="shared" si="182"/>
        <v>47109</v>
      </c>
      <c r="Q570" s="1">
        <v>2548</v>
      </c>
      <c r="R570" s="1">
        <v>2400</v>
      </c>
      <c r="S570" s="1">
        <f t="shared" si="183"/>
        <v>2400</v>
      </c>
      <c r="T570" s="1">
        <v>2.5</v>
      </c>
      <c r="U570" s="1" t="str">
        <f t="shared" si="184"/>
        <v>SIM</v>
      </c>
      <c r="V570" s="1">
        <f t="shared" si="185"/>
        <v>1059</v>
      </c>
      <c r="W570" s="4">
        <f t="shared" si="186"/>
        <v>2.2662889518413598</v>
      </c>
      <c r="X570" s="4">
        <f t="shared" si="187"/>
        <v>827.19546742209639</v>
      </c>
      <c r="Y570" s="4">
        <f t="shared" si="188"/>
        <v>1.0339943342776206</v>
      </c>
      <c r="AB570" s="5">
        <f t="shared" si="189"/>
        <v>45292</v>
      </c>
      <c r="AC570" s="5">
        <f t="shared" si="190"/>
        <v>45657</v>
      </c>
      <c r="AD570" s="1">
        <v>13</v>
      </c>
      <c r="AE570" s="1">
        <f t="shared" si="191"/>
        <v>366</v>
      </c>
      <c r="AF570" s="1">
        <f t="shared" si="192"/>
        <v>0</v>
      </c>
      <c r="AG570" s="1">
        <f t="shared" si="193"/>
        <v>0</v>
      </c>
      <c r="AH570" s="1">
        <f t="shared" si="194"/>
        <v>0</v>
      </c>
      <c r="AI570" s="1">
        <f t="shared" si="195"/>
        <v>0</v>
      </c>
      <c r="AJ570" s="3">
        <f t="shared" si="196"/>
        <v>1</v>
      </c>
      <c r="AK570" s="3">
        <f t="shared" si="197"/>
        <v>1.0339943342776206</v>
      </c>
      <c r="AL570" s="3">
        <f t="shared" si="198"/>
        <v>13.441926345609067</v>
      </c>
      <c r="AM570" s="3">
        <f t="shared" si="199"/>
        <v>33.604815864022669</v>
      </c>
      <c r="AN570" s="3">
        <f t="shared" si="200"/>
        <v>0</v>
      </c>
      <c r="AO570" s="3">
        <f t="shared" si="201"/>
        <v>33.604815864022669</v>
      </c>
      <c r="AP570" s="1" t="str">
        <f>INDEX({"EAD";"EAD";"EAD";"EAD MOOC";"EAD";"EAD";"EAD FP";"EAD";"PRESENCIAL";"PRESENCIAL";"PRESENCIAL";"PRESENCIAL"}, MATCH(CONCATENATE(E570, ".", F570),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71" spans="1:42" x14ac:dyDescent="0.25">
      <c r="A571" s="1" t="s">
        <v>27</v>
      </c>
      <c r="B571" s="1" t="s">
        <v>43</v>
      </c>
      <c r="C571" s="1" t="s">
        <v>29</v>
      </c>
      <c r="D571" s="1" t="s">
        <v>44</v>
      </c>
      <c r="E571" s="1" t="s">
        <v>120</v>
      </c>
      <c r="F571" s="1" t="s">
        <v>21</v>
      </c>
      <c r="G571" s="1" t="s">
        <v>140</v>
      </c>
      <c r="H571" s="1" t="s">
        <v>550</v>
      </c>
      <c r="I571" s="1" t="s">
        <v>209</v>
      </c>
      <c r="J571" s="1" t="s">
        <v>125</v>
      </c>
      <c r="K571" s="1" t="s">
        <v>109</v>
      </c>
      <c r="L571" s="1">
        <v>2945380</v>
      </c>
      <c r="M571" s="1" t="s">
        <v>786</v>
      </c>
      <c r="N571" s="5">
        <f t="shared" si="205"/>
        <v>44956</v>
      </c>
      <c r="O571" s="5">
        <f>DATE(2025,12,23)</f>
        <v>46014</v>
      </c>
      <c r="P571" s="5">
        <f t="shared" si="182"/>
        <v>47109</v>
      </c>
      <c r="Q571" s="1">
        <v>2130</v>
      </c>
      <c r="R571" s="1">
        <v>2000</v>
      </c>
      <c r="S571" s="1">
        <f t="shared" si="183"/>
        <v>2000</v>
      </c>
      <c r="T571" s="1">
        <v>1.5</v>
      </c>
      <c r="U571" s="1" t="str">
        <f t="shared" si="184"/>
        <v>SIM</v>
      </c>
      <c r="V571" s="1">
        <f t="shared" si="185"/>
        <v>1059</v>
      </c>
      <c r="W571" s="4">
        <f t="shared" si="186"/>
        <v>1.8885741265344664</v>
      </c>
      <c r="X571" s="4">
        <f t="shared" si="187"/>
        <v>689.32955618508026</v>
      </c>
      <c r="Y571" s="4">
        <f t="shared" si="188"/>
        <v>0.86166194523135031</v>
      </c>
      <c r="AB571" s="5">
        <f t="shared" si="189"/>
        <v>45292</v>
      </c>
      <c r="AC571" s="5">
        <f t="shared" si="190"/>
        <v>45657</v>
      </c>
      <c r="AD571" s="1">
        <v>11</v>
      </c>
      <c r="AE571" s="1">
        <f t="shared" si="191"/>
        <v>366</v>
      </c>
      <c r="AF571" s="1">
        <f t="shared" si="192"/>
        <v>0</v>
      </c>
      <c r="AG571" s="1">
        <f t="shared" si="193"/>
        <v>0</v>
      </c>
      <c r="AH571" s="1">
        <f t="shared" si="194"/>
        <v>0</v>
      </c>
      <c r="AI571" s="1">
        <f t="shared" si="195"/>
        <v>0</v>
      </c>
      <c r="AJ571" s="3">
        <f t="shared" si="196"/>
        <v>1</v>
      </c>
      <c r="AK571" s="3">
        <f t="shared" si="197"/>
        <v>0.86166194523135031</v>
      </c>
      <c r="AL571" s="3">
        <f t="shared" si="198"/>
        <v>9.478281397544853</v>
      </c>
      <c r="AM571" s="3">
        <f t="shared" si="199"/>
        <v>14.217422096317279</v>
      </c>
      <c r="AN571" s="3">
        <f t="shared" si="200"/>
        <v>0</v>
      </c>
      <c r="AO571" s="3">
        <f t="shared" si="201"/>
        <v>14.217422096317279</v>
      </c>
      <c r="AP571" s="1" t="str">
        <f>INDEX({"EAD";"EAD";"EAD";"EAD MOOC";"EAD";"EAD";"EAD FP";"EAD";"PRESENCIAL";"PRESENCIAL";"PRESENCIAL";"PRESENCIAL"}, MATCH(CONCATENATE(E571, ".", F571),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72" spans="1:42" x14ac:dyDescent="0.25">
      <c r="A572" s="1" t="s">
        <v>27</v>
      </c>
      <c r="B572" s="1" t="s">
        <v>43</v>
      </c>
      <c r="C572" s="1" t="s">
        <v>29</v>
      </c>
      <c r="D572" s="1" t="s">
        <v>44</v>
      </c>
      <c r="E572" s="1" t="s">
        <v>120</v>
      </c>
      <c r="F572" s="1" t="s">
        <v>21</v>
      </c>
      <c r="G572" s="1" t="s">
        <v>140</v>
      </c>
      <c r="H572" s="1" t="s">
        <v>500</v>
      </c>
      <c r="I572" s="1" t="s">
        <v>209</v>
      </c>
      <c r="J572" s="1" t="s">
        <v>125</v>
      </c>
      <c r="K572" s="1" t="s">
        <v>109</v>
      </c>
      <c r="L572" s="1">
        <v>2945381</v>
      </c>
      <c r="M572" s="1" t="s">
        <v>787</v>
      </c>
      <c r="N572" s="5">
        <f t="shared" si="205"/>
        <v>44956</v>
      </c>
      <c r="O572" s="5">
        <f>DATE(2025,12,23)</f>
        <v>46014</v>
      </c>
      <c r="P572" s="5">
        <f t="shared" si="182"/>
        <v>47109</v>
      </c>
      <c r="Q572" s="1">
        <v>2130</v>
      </c>
      <c r="R572" s="1">
        <v>2000</v>
      </c>
      <c r="S572" s="1">
        <f t="shared" si="183"/>
        <v>2000</v>
      </c>
      <c r="T572" s="1">
        <v>1</v>
      </c>
      <c r="U572" s="1" t="str">
        <f t="shared" si="184"/>
        <v>SIM</v>
      </c>
      <c r="V572" s="1">
        <f t="shared" si="185"/>
        <v>1059</v>
      </c>
      <c r="W572" s="4">
        <f t="shared" si="186"/>
        <v>1.8885741265344664</v>
      </c>
      <c r="X572" s="4">
        <f t="shared" si="187"/>
        <v>689.32955618508026</v>
      </c>
      <c r="Y572" s="4">
        <f t="shared" si="188"/>
        <v>0.86166194523135031</v>
      </c>
      <c r="AB572" s="5">
        <f t="shared" si="189"/>
        <v>45292</v>
      </c>
      <c r="AC572" s="5">
        <f t="shared" si="190"/>
        <v>45657</v>
      </c>
      <c r="AD572" s="1">
        <v>31</v>
      </c>
      <c r="AE572" s="1">
        <f t="shared" si="191"/>
        <v>366</v>
      </c>
      <c r="AF572" s="1">
        <f t="shared" si="192"/>
        <v>0</v>
      </c>
      <c r="AG572" s="1">
        <f t="shared" si="193"/>
        <v>0</v>
      </c>
      <c r="AH572" s="1">
        <f t="shared" si="194"/>
        <v>0</v>
      </c>
      <c r="AI572" s="1">
        <f t="shared" si="195"/>
        <v>0</v>
      </c>
      <c r="AJ572" s="3">
        <f t="shared" si="196"/>
        <v>1</v>
      </c>
      <c r="AK572" s="3">
        <f t="shared" si="197"/>
        <v>0.86166194523135031</v>
      </c>
      <c r="AL572" s="3">
        <f t="shared" si="198"/>
        <v>26.711520302171859</v>
      </c>
      <c r="AM572" s="3">
        <f t="shared" si="199"/>
        <v>26.711520302171859</v>
      </c>
      <c r="AN572" s="3">
        <f t="shared" si="200"/>
        <v>0</v>
      </c>
      <c r="AO572" s="3">
        <f t="shared" si="201"/>
        <v>26.711520302171859</v>
      </c>
      <c r="AP572" s="1" t="str">
        <f>INDEX({"EAD";"EAD";"EAD";"EAD MOOC";"EAD";"EAD";"EAD FP";"EAD";"PRESENCIAL";"PRESENCIAL";"PRESENCIAL";"PRESENCIAL"}, MATCH(CONCATENATE(E572, ".", F572),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73" spans="1:42" x14ac:dyDescent="0.25">
      <c r="A573" s="1" t="s">
        <v>27</v>
      </c>
      <c r="B573" s="1" t="s">
        <v>43</v>
      </c>
      <c r="C573" s="1" t="s">
        <v>29</v>
      </c>
      <c r="D573" s="1" t="s">
        <v>44</v>
      </c>
      <c r="E573" s="1" t="s">
        <v>120</v>
      </c>
      <c r="F573" s="1" t="s">
        <v>21</v>
      </c>
      <c r="G573" s="1" t="s">
        <v>727</v>
      </c>
      <c r="H573" s="1" t="s">
        <v>728</v>
      </c>
      <c r="I573" s="1" t="s">
        <v>172</v>
      </c>
      <c r="J573" s="1" t="s">
        <v>125</v>
      </c>
      <c r="K573" s="1" t="s">
        <v>109</v>
      </c>
      <c r="L573" s="1">
        <v>2945641</v>
      </c>
      <c r="M573" s="1" t="s">
        <v>788</v>
      </c>
      <c r="N573" s="5">
        <f>DATE(2023,3,13)</f>
        <v>44998</v>
      </c>
      <c r="O573" s="5">
        <f>DATE(2025,3,31)</f>
        <v>45747</v>
      </c>
      <c r="P573" s="5">
        <f t="shared" si="182"/>
        <v>46842</v>
      </c>
      <c r="Q573" s="1">
        <v>630</v>
      </c>
      <c r="R573" s="1">
        <v>360</v>
      </c>
      <c r="S573" s="1">
        <f t="shared" si="183"/>
        <v>360</v>
      </c>
      <c r="T573" s="1">
        <v>3.75</v>
      </c>
      <c r="U573" s="1" t="str">
        <f t="shared" si="184"/>
        <v>SIM</v>
      </c>
      <c r="V573" s="1">
        <f t="shared" si="185"/>
        <v>750</v>
      </c>
      <c r="W573" s="4">
        <f t="shared" si="186"/>
        <v>0.48</v>
      </c>
      <c r="X573" s="4">
        <f t="shared" si="187"/>
        <v>175.2</v>
      </c>
      <c r="Y573" s="4">
        <f t="shared" si="188"/>
        <v>0.21899999999999997</v>
      </c>
      <c r="AB573" s="5">
        <f t="shared" si="189"/>
        <v>45292</v>
      </c>
      <c r="AC573" s="5">
        <f t="shared" si="190"/>
        <v>45657</v>
      </c>
      <c r="AD573" s="1">
        <v>23</v>
      </c>
      <c r="AE573" s="1">
        <f t="shared" si="191"/>
        <v>366</v>
      </c>
      <c r="AF573" s="1">
        <f t="shared" si="192"/>
        <v>0</v>
      </c>
      <c r="AG573" s="1">
        <f t="shared" si="193"/>
        <v>0</v>
      </c>
      <c r="AH573" s="1">
        <f t="shared" si="194"/>
        <v>0</v>
      </c>
      <c r="AI573" s="1">
        <f t="shared" si="195"/>
        <v>0</v>
      </c>
      <c r="AJ573" s="3">
        <f t="shared" si="196"/>
        <v>1</v>
      </c>
      <c r="AK573" s="3">
        <f t="shared" si="197"/>
        <v>0.21899999999999997</v>
      </c>
      <c r="AL573" s="3">
        <f t="shared" si="198"/>
        <v>5.036999999999999</v>
      </c>
      <c r="AM573" s="3">
        <f t="shared" si="199"/>
        <v>18.888749999999995</v>
      </c>
      <c r="AN573" s="3">
        <f t="shared" si="200"/>
        <v>0</v>
      </c>
      <c r="AO573" s="3">
        <f t="shared" si="201"/>
        <v>18.888749999999995</v>
      </c>
      <c r="AP573" s="1" t="str">
        <f>INDEX({"EAD";"EAD";"EAD";"EAD MOOC";"EAD";"EAD";"EAD FP";"EAD";"PRESENCIAL";"PRESENCIAL";"PRESENCIAL";"PRESENCIAL"}, MATCH(CONCATENATE(E573, ".", F573),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74" spans="1:42" x14ac:dyDescent="0.25">
      <c r="A574" s="1" t="s">
        <v>27</v>
      </c>
      <c r="B574" s="1" t="s">
        <v>43</v>
      </c>
      <c r="C574" s="1" t="s">
        <v>29</v>
      </c>
      <c r="D574" s="1" t="s">
        <v>44</v>
      </c>
      <c r="E574" s="1" t="s">
        <v>170</v>
      </c>
      <c r="F574" s="1" t="s">
        <v>510</v>
      </c>
      <c r="G574" s="1" t="s">
        <v>140</v>
      </c>
      <c r="H574" s="1" t="s">
        <v>500</v>
      </c>
      <c r="I574" s="1" t="s">
        <v>209</v>
      </c>
      <c r="J574" s="1" t="s">
        <v>125</v>
      </c>
      <c r="K574" s="1" t="s">
        <v>109</v>
      </c>
      <c r="L574" s="1">
        <v>2945846</v>
      </c>
      <c r="M574" s="1" t="s">
        <v>789</v>
      </c>
      <c r="N574" s="5">
        <f>DATE(2023,3,17)</f>
        <v>45002</v>
      </c>
      <c r="O574" s="5">
        <f t="shared" ref="O574:O579" si="206">DATE(2025,12,23)</f>
        <v>46014</v>
      </c>
      <c r="P574" s="5">
        <f t="shared" si="182"/>
        <v>47109</v>
      </c>
      <c r="Q574" s="1">
        <v>2340</v>
      </c>
      <c r="R574" s="1">
        <v>2000</v>
      </c>
      <c r="S574" s="1">
        <f t="shared" si="183"/>
        <v>2000</v>
      </c>
      <c r="T574" s="1">
        <v>1</v>
      </c>
      <c r="U574" s="1" t="str">
        <f t="shared" si="184"/>
        <v>SIM</v>
      </c>
      <c r="V574" s="1">
        <f t="shared" si="185"/>
        <v>1013</v>
      </c>
      <c r="W574" s="4">
        <f t="shared" si="186"/>
        <v>1.9743336623889438</v>
      </c>
      <c r="X574" s="4">
        <f t="shared" si="187"/>
        <v>720.63178677196447</v>
      </c>
      <c r="Y574" s="4">
        <f t="shared" si="188"/>
        <v>0.90078973346495561</v>
      </c>
      <c r="AB574" s="5">
        <f t="shared" si="189"/>
        <v>45292</v>
      </c>
      <c r="AC574" s="5">
        <f t="shared" si="190"/>
        <v>45657</v>
      </c>
      <c r="AD574" s="1">
        <v>1</v>
      </c>
      <c r="AE574" s="1">
        <f t="shared" si="191"/>
        <v>366</v>
      </c>
      <c r="AF574" s="1">
        <f t="shared" si="192"/>
        <v>0</v>
      </c>
      <c r="AG574" s="1">
        <f t="shared" si="193"/>
        <v>0</v>
      </c>
      <c r="AH574" s="1">
        <f t="shared" si="194"/>
        <v>0</v>
      </c>
      <c r="AI574" s="1">
        <f t="shared" si="195"/>
        <v>0</v>
      </c>
      <c r="AJ574" s="3">
        <f t="shared" si="196"/>
        <v>1</v>
      </c>
      <c r="AK574" s="3">
        <f t="shared" si="197"/>
        <v>0.90078973346495561</v>
      </c>
      <c r="AL574" s="3">
        <f t="shared" si="198"/>
        <v>0.90078973346495561</v>
      </c>
      <c r="AM574" s="3">
        <f t="shared" si="199"/>
        <v>0.90078973346495561</v>
      </c>
      <c r="AN574" s="3">
        <f t="shared" si="200"/>
        <v>0</v>
      </c>
      <c r="AO574" s="3">
        <f t="shared" si="201"/>
        <v>0.90078973346495561</v>
      </c>
      <c r="AP574" s="1" t="str">
        <f>INDEX({"EAD";"EAD";"EAD";"EAD MOOC";"EAD";"EAD";"EAD FP";"EAD";"PRESENCIAL";"PRESENCIAL";"PRESENCIAL";"PRESENCIAL"}, MATCH(CONCATENATE(E574, ".", F574),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75" spans="1:42" x14ac:dyDescent="0.25">
      <c r="A575" s="1" t="s">
        <v>27</v>
      </c>
      <c r="B575" s="1" t="s">
        <v>43</v>
      </c>
      <c r="C575" s="1" t="s">
        <v>29</v>
      </c>
      <c r="D575" s="1" t="s">
        <v>44</v>
      </c>
      <c r="E575" s="1" t="s">
        <v>170</v>
      </c>
      <c r="F575" s="1" t="s">
        <v>510</v>
      </c>
      <c r="G575" s="1" t="s">
        <v>140</v>
      </c>
      <c r="H575" s="1" t="s">
        <v>500</v>
      </c>
      <c r="I575" s="1" t="s">
        <v>209</v>
      </c>
      <c r="J575" s="1" t="s">
        <v>125</v>
      </c>
      <c r="K575" s="1" t="s">
        <v>109</v>
      </c>
      <c r="L575" s="1">
        <v>2945830</v>
      </c>
      <c r="M575" s="1" t="s">
        <v>790</v>
      </c>
      <c r="N575" s="5">
        <f>DATE(2023,3,20)</f>
        <v>45005</v>
      </c>
      <c r="O575" s="5">
        <f t="shared" si="206"/>
        <v>46014</v>
      </c>
      <c r="P575" s="5">
        <f t="shared" si="182"/>
        <v>47109</v>
      </c>
      <c r="Q575" s="1">
        <v>2340</v>
      </c>
      <c r="R575" s="1">
        <v>2000</v>
      </c>
      <c r="S575" s="1">
        <f t="shared" si="183"/>
        <v>2000</v>
      </c>
      <c r="T575" s="1">
        <v>1</v>
      </c>
      <c r="U575" s="1" t="str">
        <f t="shared" si="184"/>
        <v>SIM</v>
      </c>
      <c r="V575" s="1">
        <f t="shared" si="185"/>
        <v>1010</v>
      </c>
      <c r="W575" s="4">
        <f t="shared" si="186"/>
        <v>1.9801980198019802</v>
      </c>
      <c r="X575" s="4">
        <f t="shared" si="187"/>
        <v>722.77227722772273</v>
      </c>
      <c r="Y575" s="4">
        <f t="shared" si="188"/>
        <v>0.90346534653465338</v>
      </c>
      <c r="AB575" s="5">
        <f t="shared" si="189"/>
        <v>45292</v>
      </c>
      <c r="AC575" s="5">
        <f t="shared" si="190"/>
        <v>45657</v>
      </c>
      <c r="AD575" s="1">
        <v>20</v>
      </c>
      <c r="AE575" s="1">
        <f t="shared" si="191"/>
        <v>366</v>
      </c>
      <c r="AF575" s="1">
        <f t="shared" si="192"/>
        <v>0</v>
      </c>
      <c r="AG575" s="1">
        <f t="shared" si="193"/>
        <v>0</v>
      </c>
      <c r="AH575" s="1">
        <f t="shared" si="194"/>
        <v>0</v>
      </c>
      <c r="AI575" s="1">
        <f t="shared" si="195"/>
        <v>0</v>
      </c>
      <c r="AJ575" s="3">
        <f t="shared" si="196"/>
        <v>1</v>
      </c>
      <c r="AK575" s="3">
        <f t="shared" si="197"/>
        <v>0.90346534653465338</v>
      </c>
      <c r="AL575" s="3">
        <f t="shared" si="198"/>
        <v>18.069306930693067</v>
      </c>
      <c r="AM575" s="3">
        <f t="shared" si="199"/>
        <v>18.069306930693067</v>
      </c>
      <c r="AN575" s="3">
        <f t="shared" si="200"/>
        <v>0</v>
      </c>
      <c r="AO575" s="3">
        <f t="shared" si="201"/>
        <v>18.069306930693067</v>
      </c>
      <c r="AP575" s="1" t="str">
        <f>INDEX({"EAD";"EAD";"EAD";"EAD MOOC";"EAD";"EAD";"EAD FP";"EAD";"PRESENCIAL";"PRESENCIAL";"PRESENCIAL";"PRESENCIAL"}, MATCH(CONCATENATE(E575, ".", F575),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76" spans="1:42" x14ac:dyDescent="0.25">
      <c r="A576" s="1" t="s">
        <v>27</v>
      </c>
      <c r="B576" s="1" t="s">
        <v>43</v>
      </c>
      <c r="C576" s="1" t="s">
        <v>29</v>
      </c>
      <c r="D576" s="1" t="s">
        <v>44</v>
      </c>
      <c r="E576" s="1" t="s">
        <v>170</v>
      </c>
      <c r="F576" s="1" t="s">
        <v>510</v>
      </c>
      <c r="G576" s="1" t="s">
        <v>140</v>
      </c>
      <c r="H576" s="1" t="s">
        <v>500</v>
      </c>
      <c r="I576" s="1" t="s">
        <v>209</v>
      </c>
      <c r="J576" s="1" t="s">
        <v>125</v>
      </c>
      <c r="K576" s="1" t="s">
        <v>109</v>
      </c>
      <c r="L576" s="1">
        <v>2945839</v>
      </c>
      <c r="M576" s="1" t="s">
        <v>791</v>
      </c>
      <c r="N576" s="5">
        <f>DATE(2023,3,21)</f>
        <v>45006</v>
      </c>
      <c r="O576" s="5">
        <f t="shared" si="206"/>
        <v>46014</v>
      </c>
      <c r="P576" s="5">
        <f t="shared" si="182"/>
        <v>47109</v>
      </c>
      <c r="Q576" s="1">
        <v>2340</v>
      </c>
      <c r="R576" s="1">
        <v>2000</v>
      </c>
      <c r="S576" s="1">
        <f t="shared" si="183"/>
        <v>2000</v>
      </c>
      <c r="T576" s="1">
        <v>1</v>
      </c>
      <c r="U576" s="1" t="str">
        <f t="shared" si="184"/>
        <v>SIM</v>
      </c>
      <c r="V576" s="1">
        <f t="shared" si="185"/>
        <v>1009</v>
      </c>
      <c r="W576" s="4">
        <f t="shared" si="186"/>
        <v>1.9821605550049555</v>
      </c>
      <c r="X576" s="4">
        <f t="shared" si="187"/>
        <v>723.48860257680872</v>
      </c>
      <c r="Y576" s="4">
        <f t="shared" si="188"/>
        <v>0.90436075322101095</v>
      </c>
      <c r="AB576" s="5">
        <f t="shared" si="189"/>
        <v>45292</v>
      </c>
      <c r="AC576" s="5">
        <f t="shared" si="190"/>
        <v>45657</v>
      </c>
      <c r="AD576" s="1">
        <v>8</v>
      </c>
      <c r="AE576" s="1">
        <f t="shared" si="191"/>
        <v>366</v>
      </c>
      <c r="AF576" s="1">
        <f t="shared" si="192"/>
        <v>0</v>
      </c>
      <c r="AG576" s="1">
        <f t="shared" si="193"/>
        <v>0</v>
      </c>
      <c r="AH576" s="1">
        <f t="shared" si="194"/>
        <v>0</v>
      </c>
      <c r="AI576" s="1">
        <f t="shared" si="195"/>
        <v>0</v>
      </c>
      <c r="AJ576" s="3">
        <f t="shared" si="196"/>
        <v>1</v>
      </c>
      <c r="AK576" s="3">
        <f t="shared" si="197"/>
        <v>0.90436075322101095</v>
      </c>
      <c r="AL576" s="3">
        <f t="shared" si="198"/>
        <v>7.2348860257680876</v>
      </c>
      <c r="AM576" s="3">
        <f t="shared" si="199"/>
        <v>7.2348860257680876</v>
      </c>
      <c r="AN576" s="3">
        <f t="shared" si="200"/>
        <v>0</v>
      </c>
      <c r="AO576" s="3">
        <f t="shared" si="201"/>
        <v>7.2348860257680876</v>
      </c>
      <c r="AP576" s="1" t="str">
        <f>INDEX({"EAD";"EAD";"EAD";"EAD MOOC";"EAD";"EAD";"EAD FP";"EAD";"PRESENCIAL";"PRESENCIAL";"PRESENCIAL";"PRESENCIAL"}, MATCH(CONCATENATE(E576, ".", F576),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77" spans="1:42" x14ac:dyDescent="0.25">
      <c r="A577" s="1" t="s">
        <v>27</v>
      </c>
      <c r="B577" s="1" t="s">
        <v>43</v>
      </c>
      <c r="C577" s="1" t="s">
        <v>29</v>
      </c>
      <c r="D577" s="1" t="s">
        <v>44</v>
      </c>
      <c r="E577" s="1" t="s">
        <v>170</v>
      </c>
      <c r="F577" s="1" t="s">
        <v>510</v>
      </c>
      <c r="G577" s="1" t="s">
        <v>140</v>
      </c>
      <c r="H577" s="1" t="s">
        <v>500</v>
      </c>
      <c r="I577" s="1" t="s">
        <v>209</v>
      </c>
      <c r="J577" s="1" t="s">
        <v>125</v>
      </c>
      <c r="K577" s="1" t="s">
        <v>109</v>
      </c>
      <c r="L577" s="1">
        <v>2945840</v>
      </c>
      <c r="M577" s="1" t="s">
        <v>792</v>
      </c>
      <c r="N577" s="5">
        <f>DATE(2023,3,22)</f>
        <v>45007</v>
      </c>
      <c r="O577" s="5">
        <f t="shared" si="206"/>
        <v>46014</v>
      </c>
      <c r="P577" s="5">
        <f t="shared" si="182"/>
        <v>47109</v>
      </c>
      <c r="Q577" s="1">
        <v>2340</v>
      </c>
      <c r="R577" s="1">
        <v>2000</v>
      </c>
      <c r="S577" s="1">
        <f t="shared" si="183"/>
        <v>2000</v>
      </c>
      <c r="T577" s="1">
        <v>1</v>
      </c>
      <c r="U577" s="1" t="str">
        <f t="shared" si="184"/>
        <v>SIM</v>
      </c>
      <c r="V577" s="1">
        <f t="shared" si="185"/>
        <v>1008</v>
      </c>
      <c r="W577" s="4">
        <f t="shared" si="186"/>
        <v>1.9841269841269842</v>
      </c>
      <c r="X577" s="4">
        <f t="shared" si="187"/>
        <v>724.20634920634927</v>
      </c>
      <c r="Y577" s="4">
        <f t="shared" si="188"/>
        <v>0.90525793650793662</v>
      </c>
      <c r="AB577" s="5">
        <f t="shared" si="189"/>
        <v>45292</v>
      </c>
      <c r="AC577" s="5">
        <f t="shared" si="190"/>
        <v>45657</v>
      </c>
      <c r="AD577" s="1">
        <v>11</v>
      </c>
      <c r="AE577" s="1">
        <f t="shared" si="191"/>
        <v>366</v>
      </c>
      <c r="AF577" s="1">
        <f t="shared" si="192"/>
        <v>0</v>
      </c>
      <c r="AG577" s="1">
        <f t="shared" si="193"/>
        <v>0</v>
      </c>
      <c r="AH577" s="1">
        <f t="shared" si="194"/>
        <v>0</v>
      </c>
      <c r="AI577" s="1">
        <f t="shared" si="195"/>
        <v>0</v>
      </c>
      <c r="AJ577" s="3">
        <f t="shared" si="196"/>
        <v>1</v>
      </c>
      <c r="AK577" s="3">
        <f t="shared" si="197"/>
        <v>0.90525793650793662</v>
      </c>
      <c r="AL577" s="3">
        <f t="shared" si="198"/>
        <v>9.9578373015873023</v>
      </c>
      <c r="AM577" s="3">
        <f t="shared" si="199"/>
        <v>9.9578373015873023</v>
      </c>
      <c r="AN577" s="3">
        <f t="shared" si="200"/>
        <v>0</v>
      </c>
      <c r="AO577" s="3">
        <f t="shared" si="201"/>
        <v>9.9578373015873023</v>
      </c>
      <c r="AP577" s="1" t="str">
        <f>INDEX({"EAD";"EAD";"EAD";"EAD MOOC";"EAD";"EAD";"EAD FP";"EAD";"PRESENCIAL";"PRESENCIAL";"PRESENCIAL";"PRESENCIAL"}, MATCH(CONCATENATE(E577, ".", F577),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78" spans="1:42" x14ac:dyDescent="0.25">
      <c r="A578" s="1" t="s">
        <v>27</v>
      </c>
      <c r="B578" s="1" t="s">
        <v>43</v>
      </c>
      <c r="C578" s="1" t="s">
        <v>29</v>
      </c>
      <c r="D578" s="1" t="s">
        <v>44</v>
      </c>
      <c r="E578" s="1" t="s">
        <v>170</v>
      </c>
      <c r="F578" s="1" t="s">
        <v>510</v>
      </c>
      <c r="G578" s="1" t="s">
        <v>140</v>
      </c>
      <c r="H578" s="1" t="s">
        <v>500</v>
      </c>
      <c r="I578" s="1" t="s">
        <v>209</v>
      </c>
      <c r="J578" s="1" t="s">
        <v>125</v>
      </c>
      <c r="K578" s="1" t="s">
        <v>109</v>
      </c>
      <c r="L578" s="1">
        <v>2945841</v>
      </c>
      <c r="M578" s="1" t="s">
        <v>793</v>
      </c>
      <c r="N578" s="5">
        <f>DATE(2023,3,23)</f>
        <v>45008</v>
      </c>
      <c r="O578" s="5">
        <f t="shared" si="206"/>
        <v>46014</v>
      </c>
      <c r="P578" s="5">
        <f t="shared" si="182"/>
        <v>47109</v>
      </c>
      <c r="Q578" s="1">
        <v>2340</v>
      </c>
      <c r="R578" s="1">
        <v>2000</v>
      </c>
      <c r="S578" s="1">
        <f t="shared" si="183"/>
        <v>2000</v>
      </c>
      <c r="T578" s="1">
        <v>1</v>
      </c>
      <c r="U578" s="1" t="str">
        <f t="shared" si="184"/>
        <v>SIM</v>
      </c>
      <c r="V578" s="1">
        <f t="shared" si="185"/>
        <v>1007</v>
      </c>
      <c r="W578" s="4">
        <f t="shared" si="186"/>
        <v>1.9860973187686197</v>
      </c>
      <c r="X578" s="4">
        <f t="shared" si="187"/>
        <v>724.92552135054621</v>
      </c>
      <c r="Y578" s="4">
        <f t="shared" si="188"/>
        <v>0.90615690168818275</v>
      </c>
      <c r="AB578" s="5">
        <f t="shared" si="189"/>
        <v>45292</v>
      </c>
      <c r="AC578" s="5">
        <f t="shared" si="190"/>
        <v>45657</v>
      </c>
      <c r="AD578" s="1">
        <v>70</v>
      </c>
      <c r="AE578" s="1">
        <f t="shared" si="191"/>
        <v>366</v>
      </c>
      <c r="AF578" s="1">
        <f t="shared" si="192"/>
        <v>0</v>
      </c>
      <c r="AG578" s="1">
        <f t="shared" si="193"/>
        <v>0</v>
      </c>
      <c r="AH578" s="1">
        <f t="shared" si="194"/>
        <v>0</v>
      </c>
      <c r="AI578" s="1">
        <f t="shared" si="195"/>
        <v>0</v>
      </c>
      <c r="AJ578" s="3">
        <f t="shared" si="196"/>
        <v>1</v>
      </c>
      <c r="AK578" s="3">
        <f t="shared" si="197"/>
        <v>0.90615690168818275</v>
      </c>
      <c r="AL578" s="3">
        <f t="shared" si="198"/>
        <v>63.43098311817279</v>
      </c>
      <c r="AM578" s="3">
        <f t="shared" si="199"/>
        <v>63.43098311817279</v>
      </c>
      <c r="AN578" s="3">
        <f t="shared" si="200"/>
        <v>0</v>
      </c>
      <c r="AO578" s="3">
        <f t="shared" si="201"/>
        <v>63.43098311817279</v>
      </c>
      <c r="AP578" s="1" t="str">
        <f>INDEX({"EAD";"EAD";"EAD";"EAD MOOC";"EAD";"EAD";"EAD FP";"EAD";"PRESENCIAL";"PRESENCIAL";"PRESENCIAL";"PRESENCIAL"}, MATCH(CONCATENATE(E578, ".", F578),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79" spans="1:42" x14ac:dyDescent="0.25">
      <c r="A579" s="1" t="s">
        <v>27</v>
      </c>
      <c r="B579" s="1" t="s">
        <v>43</v>
      </c>
      <c r="C579" s="1" t="s">
        <v>29</v>
      </c>
      <c r="D579" s="1" t="s">
        <v>44</v>
      </c>
      <c r="E579" s="1" t="s">
        <v>170</v>
      </c>
      <c r="F579" s="1" t="s">
        <v>510</v>
      </c>
      <c r="G579" s="1" t="s">
        <v>140</v>
      </c>
      <c r="H579" s="1" t="s">
        <v>500</v>
      </c>
      <c r="I579" s="1" t="s">
        <v>209</v>
      </c>
      <c r="J579" s="1" t="s">
        <v>125</v>
      </c>
      <c r="K579" s="1" t="s">
        <v>109</v>
      </c>
      <c r="L579" s="1">
        <v>2945844</v>
      </c>
      <c r="M579" s="1" t="s">
        <v>794</v>
      </c>
      <c r="N579" s="5">
        <f>DATE(2023,3,24)</f>
        <v>45009</v>
      </c>
      <c r="O579" s="5">
        <f t="shared" si="206"/>
        <v>46014</v>
      </c>
      <c r="P579" s="5">
        <f t="shared" si="182"/>
        <v>47109</v>
      </c>
      <c r="Q579" s="1">
        <v>2340</v>
      </c>
      <c r="R579" s="1">
        <v>2000</v>
      </c>
      <c r="S579" s="1">
        <f t="shared" si="183"/>
        <v>2000</v>
      </c>
      <c r="T579" s="1">
        <v>1</v>
      </c>
      <c r="U579" s="1" t="str">
        <f t="shared" si="184"/>
        <v>SIM</v>
      </c>
      <c r="V579" s="1">
        <f t="shared" si="185"/>
        <v>1006</v>
      </c>
      <c r="W579" s="4">
        <f t="shared" si="186"/>
        <v>1.9880715705765408</v>
      </c>
      <c r="X579" s="4">
        <f t="shared" si="187"/>
        <v>725.64612326043743</v>
      </c>
      <c r="Y579" s="4">
        <f t="shared" si="188"/>
        <v>0.90705765407554684</v>
      </c>
      <c r="AB579" s="5">
        <f t="shared" si="189"/>
        <v>45292</v>
      </c>
      <c r="AC579" s="5">
        <f t="shared" si="190"/>
        <v>45657</v>
      </c>
      <c r="AD579" s="1">
        <v>17</v>
      </c>
      <c r="AE579" s="1">
        <f t="shared" si="191"/>
        <v>366</v>
      </c>
      <c r="AF579" s="1">
        <f t="shared" si="192"/>
        <v>0</v>
      </c>
      <c r="AG579" s="1">
        <f t="shared" si="193"/>
        <v>0</v>
      </c>
      <c r="AH579" s="1">
        <f t="shared" si="194"/>
        <v>0</v>
      </c>
      <c r="AI579" s="1">
        <f t="shared" si="195"/>
        <v>0</v>
      </c>
      <c r="AJ579" s="3">
        <f t="shared" si="196"/>
        <v>1</v>
      </c>
      <c r="AK579" s="3">
        <f t="shared" si="197"/>
        <v>0.90705765407554684</v>
      </c>
      <c r="AL579" s="3">
        <f t="shared" si="198"/>
        <v>15.419980119284297</v>
      </c>
      <c r="AM579" s="3">
        <f t="shared" si="199"/>
        <v>15.419980119284297</v>
      </c>
      <c r="AN579" s="3">
        <f t="shared" si="200"/>
        <v>0</v>
      </c>
      <c r="AO579" s="3">
        <f t="shared" si="201"/>
        <v>15.419980119284297</v>
      </c>
      <c r="AP579" s="1" t="str">
        <f>INDEX({"EAD";"EAD";"EAD";"EAD MOOC";"EAD";"EAD";"EAD FP";"EAD";"PRESENCIAL";"PRESENCIAL";"PRESENCIAL";"PRESENCIAL"}, MATCH(CONCATENATE(E579, ".", F579),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80" spans="1:42" x14ac:dyDescent="0.25">
      <c r="A580" s="1" t="s">
        <v>27</v>
      </c>
      <c r="B580" s="1" t="s">
        <v>43</v>
      </c>
      <c r="C580" s="1" t="s">
        <v>29</v>
      </c>
      <c r="D580" s="1" t="s">
        <v>44</v>
      </c>
      <c r="E580" s="1" t="s">
        <v>120</v>
      </c>
      <c r="F580" s="1" t="s">
        <v>21</v>
      </c>
      <c r="G580" s="1" t="s">
        <v>665</v>
      </c>
      <c r="H580" s="1" t="s">
        <v>666</v>
      </c>
      <c r="I580" s="1" t="s">
        <v>172</v>
      </c>
      <c r="J580" s="1" t="s">
        <v>125</v>
      </c>
      <c r="K580" s="1" t="s">
        <v>109</v>
      </c>
      <c r="L580" s="1">
        <v>2973201</v>
      </c>
      <c r="M580" s="1" t="s">
        <v>795</v>
      </c>
      <c r="N580" s="5">
        <f>DATE(2023,3,30)</f>
        <v>45015</v>
      </c>
      <c r="O580" s="5">
        <f>DATE(2025,3,31)</f>
        <v>45747</v>
      </c>
      <c r="P580" s="5">
        <f t="shared" ref="P580:P643" si="207">IF(G580="QUALIFICACAO PROFISSIONAL (FIC)",O580,O580+1095)</f>
        <v>46842</v>
      </c>
      <c r="Q580" s="1">
        <v>480</v>
      </c>
      <c r="R580" s="1">
        <v>360</v>
      </c>
      <c r="S580" s="1">
        <f t="shared" ref="S580:S643" si="208">IF(OR(G580="QUALIFICACAO PROFISSIONAL (FIC)",G580="DOUTORADO"),Q580,    IF(ISNUMBER(FIND("PROEJA",K580)),2400,        IF(K580="INTEGRADO",            IF(R580=800,3000,                IF(R580=1000,3100,                    IF(R580=1200,3200,R580)                )            ),            R580        )    ))</f>
        <v>360</v>
      </c>
      <c r="T580" s="1">
        <v>3.75</v>
      </c>
      <c r="U580" s="1" t="str">
        <f t="shared" ref="U580:U643" si="209">IF(P580&lt;AB580,"NÃO","SIM")</f>
        <v>SIM</v>
      </c>
      <c r="V580" s="1">
        <f t="shared" ref="V580:V643" si="210">O580-N580+1</f>
        <v>733</v>
      </c>
      <c r="W580" s="4">
        <f t="shared" ref="W580:W643" si="211">IF(S580&gt;Q580,Q580,S580)/V580</f>
        <v>0.49113233287858116</v>
      </c>
      <c r="X580" s="4">
        <f t="shared" ref="X580:X643" si="212">IF(V580&gt;365,W580*365,S580)</f>
        <v>179.26330150068213</v>
      </c>
      <c r="Y580" s="4">
        <f t="shared" ref="Y580:Y643" si="213">IF(V580&gt;365,X580/800,S580/800)</f>
        <v>0.22407912687585266</v>
      </c>
      <c r="AB580" s="5">
        <f t="shared" ref="AB580:AB643" si="214">DATE(2024,1,1)</f>
        <v>45292</v>
      </c>
      <c r="AC580" s="5">
        <f t="shared" ref="AC580:AC643" si="215">DATE(2024,12,31)</f>
        <v>45657</v>
      </c>
      <c r="AD580" s="1">
        <v>35</v>
      </c>
      <c r="AE580" s="1">
        <f t="shared" ref="AE580:AE643" si="216">IF(AND(N580&lt;AB580,O580&gt;AC580),AC580-AB580+1,0)</f>
        <v>366</v>
      </c>
      <c r="AF580" s="1">
        <f t="shared" ref="AF580:AF643" si="217">IF(AND(N580&gt;=AB580,O580&gt;AC580,N580&lt;AC580),AC580-N580+1,0)</f>
        <v>0</v>
      </c>
      <c r="AG580" s="1">
        <f t="shared" ref="AG580:AG643" si="218">IF(AND(N580&lt;AB580,O580&lt;=AC580,O580&gt;=AB580),O580-AB580+1,0)</f>
        <v>0</v>
      </c>
      <c r="AH580" s="1">
        <f t="shared" ref="AH580:AH643" si="219">IF(AND(N580&gt;=AB580,O580&lt;=AC580),O580-N580+1,0)</f>
        <v>0</v>
      </c>
      <c r="AI580" s="1">
        <f t="shared" ref="AI580:AI643" si="220">IF(AND(N580&lt;AB580,O580&lt;AB580),(AC580-AB580+1)/2,0)</f>
        <v>0</v>
      </c>
      <c r="AJ580" s="3">
        <f t="shared" ref="AJ580:AJ643" si="221">SUM(AE580:AI580)/IF(V580&gt;=365,AC580-AB580+1,V580)</f>
        <v>1</v>
      </c>
      <c r="AK580" s="3">
        <f t="shared" ref="AK580:AK643" si="222">Y580*AJ580</f>
        <v>0.22407912687585266</v>
      </c>
      <c r="AL580" s="3">
        <f t="shared" ref="AL580:AL643" si="223">IF(AI580=0,AK580*AD580,IF(U580="SIM",AK580*(AD580/2),0))</f>
        <v>7.8427694406548429</v>
      </c>
      <c r="AM580" s="3">
        <f t="shared" ref="AM580:AM643" si="224">AL580*T580</f>
        <v>29.41038540245566</v>
      </c>
      <c r="AN580" s="3">
        <f t="shared" ref="AN580:AN643" si="225">IF(J580="SIM",AM580*50%,0)</f>
        <v>0</v>
      </c>
      <c r="AO580" s="3">
        <f t="shared" ref="AO580:AO643" si="226">IF(U580="SIM",AM580+AN580,0)</f>
        <v>29.41038540245566</v>
      </c>
      <c r="AP580" s="1" t="str">
        <f>INDEX({"EAD";"EAD";"EAD";"EAD MOOC";"EAD";"EAD";"EAD FP";"EAD";"PRESENCIAL";"PRESENCIAL";"PRESENCIAL";"PRESENCIAL"}, MATCH(CONCATENATE(E580, ".", F580),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81" spans="1:42" x14ac:dyDescent="0.25">
      <c r="A581" s="1" t="s">
        <v>27</v>
      </c>
      <c r="B581" s="1" t="s">
        <v>43</v>
      </c>
      <c r="C581" s="1" t="s">
        <v>29</v>
      </c>
      <c r="D581" s="1" t="s">
        <v>44</v>
      </c>
      <c r="E581" s="1" t="s">
        <v>170</v>
      </c>
      <c r="F581" s="1" t="s">
        <v>447</v>
      </c>
      <c r="G581" s="1" t="s">
        <v>128</v>
      </c>
      <c r="H581" s="1" t="s">
        <v>174</v>
      </c>
      <c r="I581" s="1" t="s">
        <v>172</v>
      </c>
      <c r="J581" s="1" t="s">
        <v>125</v>
      </c>
      <c r="K581" s="1" t="s">
        <v>163</v>
      </c>
      <c r="L581" s="1">
        <v>2959386</v>
      </c>
      <c r="M581" s="1" t="s">
        <v>796</v>
      </c>
      <c r="N581" s="5">
        <f>DATE(2023,4,1)</f>
        <v>45017</v>
      </c>
      <c r="O581" s="5">
        <f>DATE(2024,9,30)</f>
        <v>45565</v>
      </c>
      <c r="P581" s="5">
        <f t="shared" si="207"/>
        <v>46660</v>
      </c>
      <c r="Q581" s="1">
        <v>1200</v>
      </c>
      <c r="R581" s="1">
        <v>1200</v>
      </c>
      <c r="S581" s="1">
        <f t="shared" si="208"/>
        <v>1200</v>
      </c>
      <c r="T581" s="1">
        <v>1</v>
      </c>
      <c r="U581" s="1" t="str">
        <f t="shared" si="209"/>
        <v>SIM</v>
      </c>
      <c r="V581" s="1">
        <f t="shared" si="210"/>
        <v>549</v>
      </c>
      <c r="W581" s="4">
        <f t="shared" si="211"/>
        <v>2.1857923497267762</v>
      </c>
      <c r="X581" s="4">
        <f t="shared" si="212"/>
        <v>797.81420765027326</v>
      </c>
      <c r="Y581" s="4">
        <f t="shared" si="213"/>
        <v>0.99726775956284153</v>
      </c>
      <c r="AB581" s="5">
        <f t="shared" si="214"/>
        <v>45292</v>
      </c>
      <c r="AC581" s="5">
        <f t="shared" si="215"/>
        <v>45657</v>
      </c>
      <c r="AD581" s="1">
        <v>84</v>
      </c>
      <c r="AE581" s="1">
        <f t="shared" si="216"/>
        <v>0</v>
      </c>
      <c r="AF581" s="1">
        <f t="shared" si="217"/>
        <v>0</v>
      </c>
      <c r="AG581" s="1">
        <f t="shared" si="218"/>
        <v>274</v>
      </c>
      <c r="AH581" s="1">
        <f t="shared" si="219"/>
        <v>0</v>
      </c>
      <c r="AI581" s="1">
        <f t="shared" si="220"/>
        <v>0</v>
      </c>
      <c r="AJ581" s="3">
        <f t="shared" si="221"/>
        <v>0.74863387978142082</v>
      </c>
      <c r="AK581" s="3">
        <f t="shared" si="222"/>
        <v>0.74658843202245517</v>
      </c>
      <c r="AL581" s="3">
        <f t="shared" si="223"/>
        <v>62.713428289886238</v>
      </c>
      <c r="AM581" s="3">
        <f t="shared" si="224"/>
        <v>62.713428289886238</v>
      </c>
      <c r="AN581" s="3">
        <f t="shared" si="225"/>
        <v>0</v>
      </c>
      <c r="AO581" s="3">
        <f t="shared" si="226"/>
        <v>62.713428289886238</v>
      </c>
      <c r="AP581" s="1" t="str">
        <f>INDEX({"EAD";"EAD";"EAD";"EAD MOOC";"EAD";"EAD";"EAD FP";"EAD";"PRESENCIAL";"PRESENCIAL";"PRESENCIAL";"PRESENCIAL"}, MATCH(CONCATENATE(E581, ".", F581),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82" spans="1:42" x14ac:dyDescent="0.25">
      <c r="A582" s="1" t="s">
        <v>27</v>
      </c>
      <c r="B582" s="1" t="s">
        <v>43</v>
      </c>
      <c r="C582" s="1" t="s">
        <v>29</v>
      </c>
      <c r="D582" s="1" t="s">
        <v>44</v>
      </c>
      <c r="E582" s="1" t="s">
        <v>170</v>
      </c>
      <c r="F582" s="1" t="s">
        <v>447</v>
      </c>
      <c r="G582" s="1" t="s">
        <v>128</v>
      </c>
      <c r="H582" s="1" t="s">
        <v>171</v>
      </c>
      <c r="I582" s="1" t="s">
        <v>172</v>
      </c>
      <c r="J582" s="1" t="s">
        <v>125</v>
      </c>
      <c r="K582" s="1" t="s">
        <v>163</v>
      </c>
      <c r="L582" s="1">
        <v>2959464</v>
      </c>
      <c r="M582" s="1" t="s">
        <v>797</v>
      </c>
      <c r="N582" s="5">
        <f>DATE(2023,4,1)</f>
        <v>45017</v>
      </c>
      <c r="O582" s="5">
        <f>DATE(2024,9,30)</f>
        <v>45565</v>
      </c>
      <c r="P582" s="5">
        <f t="shared" si="207"/>
        <v>46660</v>
      </c>
      <c r="Q582" s="1">
        <v>1200</v>
      </c>
      <c r="R582" s="1">
        <v>1200</v>
      </c>
      <c r="S582" s="1">
        <f t="shared" si="208"/>
        <v>1200</v>
      </c>
      <c r="T582" s="1">
        <v>2</v>
      </c>
      <c r="U582" s="1" t="str">
        <f t="shared" si="209"/>
        <v>SIM</v>
      </c>
      <c r="V582" s="1">
        <f t="shared" si="210"/>
        <v>549</v>
      </c>
      <c r="W582" s="4">
        <f t="shared" si="211"/>
        <v>2.1857923497267762</v>
      </c>
      <c r="X582" s="4">
        <f t="shared" si="212"/>
        <v>797.81420765027326</v>
      </c>
      <c r="Y582" s="4">
        <f t="shared" si="213"/>
        <v>0.99726775956284153</v>
      </c>
      <c r="AB582" s="5">
        <f t="shared" si="214"/>
        <v>45292</v>
      </c>
      <c r="AC582" s="5">
        <f t="shared" si="215"/>
        <v>45657</v>
      </c>
      <c r="AD582" s="1">
        <v>41</v>
      </c>
      <c r="AE582" s="1">
        <f t="shared" si="216"/>
        <v>0</v>
      </c>
      <c r="AF582" s="1">
        <f t="shared" si="217"/>
        <v>0</v>
      </c>
      <c r="AG582" s="1">
        <f t="shared" si="218"/>
        <v>274</v>
      </c>
      <c r="AH582" s="1">
        <f t="shared" si="219"/>
        <v>0</v>
      </c>
      <c r="AI582" s="1">
        <f t="shared" si="220"/>
        <v>0</v>
      </c>
      <c r="AJ582" s="3">
        <f t="shared" si="221"/>
        <v>0.74863387978142082</v>
      </c>
      <c r="AK582" s="3">
        <f t="shared" si="222"/>
        <v>0.74658843202245517</v>
      </c>
      <c r="AL582" s="3">
        <f t="shared" si="223"/>
        <v>30.610125712920663</v>
      </c>
      <c r="AM582" s="3">
        <f t="shared" si="224"/>
        <v>61.220251425841326</v>
      </c>
      <c r="AN582" s="3">
        <f t="shared" si="225"/>
        <v>0</v>
      </c>
      <c r="AO582" s="3">
        <f t="shared" si="226"/>
        <v>61.220251425841326</v>
      </c>
      <c r="AP582" s="1" t="str">
        <f>INDEX({"EAD";"EAD";"EAD";"EAD MOOC";"EAD";"EAD";"EAD FP";"EAD";"PRESENCIAL";"PRESENCIAL";"PRESENCIAL";"PRESENCIAL"}, MATCH(CONCATENATE(E582, ".", F582),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83" spans="1:42" x14ac:dyDescent="0.25">
      <c r="A583" s="1" t="s">
        <v>27</v>
      </c>
      <c r="B583" s="1" t="s">
        <v>43</v>
      </c>
      <c r="C583" s="1" t="s">
        <v>29</v>
      </c>
      <c r="D583" s="1" t="s">
        <v>44</v>
      </c>
      <c r="E583" s="1" t="s">
        <v>170</v>
      </c>
      <c r="F583" s="1" t="s">
        <v>447</v>
      </c>
      <c r="G583" s="1" t="s">
        <v>128</v>
      </c>
      <c r="H583" s="1" t="s">
        <v>798</v>
      </c>
      <c r="I583" s="1" t="s">
        <v>172</v>
      </c>
      <c r="J583" s="1" t="s">
        <v>125</v>
      </c>
      <c r="K583" s="1" t="s">
        <v>163</v>
      </c>
      <c r="L583" s="1">
        <v>2959465</v>
      </c>
      <c r="M583" s="1" t="s">
        <v>799</v>
      </c>
      <c r="N583" s="5">
        <f>DATE(2023,4,1)</f>
        <v>45017</v>
      </c>
      <c r="O583" s="5">
        <f>DATE(2024,9,30)</f>
        <v>45565</v>
      </c>
      <c r="P583" s="5">
        <f t="shared" si="207"/>
        <v>46660</v>
      </c>
      <c r="Q583" s="1">
        <v>1200</v>
      </c>
      <c r="R583" s="1">
        <v>1200</v>
      </c>
      <c r="S583" s="1">
        <f t="shared" si="208"/>
        <v>1200</v>
      </c>
      <c r="T583" s="1">
        <v>2.5</v>
      </c>
      <c r="U583" s="1" t="str">
        <f t="shared" si="209"/>
        <v>SIM</v>
      </c>
      <c r="V583" s="1">
        <f t="shared" si="210"/>
        <v>549</v>
      </c>
      <c r="W583" s="4">
        <f t="shared" si="211"/>
        <v>2.1857923497267762</v>
      </c>
      <c r="X583" s="4">
        <f t="shared" si="212"/>
        <v>797.81420765027326</v>
      </c>
      <c r="Y583" s="4">
        <f t="shared" si="213"/>
        <v>0.99726775956284153</v>
      </c>
      <c r="AB583" s="5">
        <f t="shared" si="214"/>
        <v>45292</v>
      </c>
      <c r="AC583" s="5">
        <f t="shared" si="215"/>
        <v>45657</v>
      </c>
      <c r="AD583" s="1">
        <v>28</v>
      </c>
      <c r="AE583" s="1">
        <f t="shared" si="216"/>
        <v>0</v>
      </c>
      <c r="AF583" s="1">
        <f t="shared" si="217"/>
        <v>0</v>
      </c>
      <c r="AG583" s="1">
        <f t="shared" si="218"/>
        <v>274</v>
      </c>
      <c r="AH583" s="1">
        <f t="shared" si="219"/>
        <v>0</v>
      </c>
      <c r="AI583" s="1">
        <f t="shared" si="220"/>
        <v>0</v>
      </c>
      <c r="AJ583" s="3">
        <f t="shared" si="221"/>
        <v>0.74863387978142082</v>
      </c>
      <c r="AK583" s="3">
        <f t="shared" si="222"/>
        <v>0.74658843202245517</v>
      </c>
      <c r="AL583" s="3">
        <f t="shared" si="223"/>
        <v>20.904476096628745</v>
      </c>
      <c r="AM583" s="3">
        <f t="shared" si="224"/>
        <v>52.26119024157186</v>
      </c>
      <c r="AN583" s="3">
        <f t="shared" si="225"/>
        <v>0</v>
      </c>
      <c r="AO583" s="3">
        <f t="shared" si="226"/>
        <v>52.26119024157186</v>
      </c>
      <c r="AP583" s="1" t="str">
        <f>INDEX({"EAD";"EAD";"EAD";"EAD MOOC";"EAD";"EAD";"EAD FP";"EAD";"PRESENCIAL";"PRESENCIAL";"PRESENCIAL";"PRESENCIAL"}, MATCH(CONCATENATE(E583, ".", F583),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84" spans="1:42" x14ac:dyDescent="0.25">
      <c r="A584" s="1" t="s">
        <v>27</v>
      </c>
      <c r="B584" s="1" t="s">
        <v>43</v>
      </c>
      <c r="C584" s="1" t="s">
        <v>29</v>
      </c>
      <c r="D584" s="1" t="s">
        <v>44</v>
      </c>
      <c r="E584" s="1" t="s">
        <v>170</v>
      </c>
      <c r="F584" s="1" t="s">
        <v>447</v>
      </c>
      <c r="G584" s="1" t="s">
        <v>128</v>
      </c>
      <c r="H584" s="1" t="s">
        <v>176</v>
      </c>
      <c r="I584" s="1" t="s">
        <v>172</v>
      </c>
      <c r="J584" s="1" t="s">
        <v>125</v>
      </c>
      <c r="K584" s="1" t="s">
        <v>163</v>
      </c>
      <c r="L584" s="1">
        <v>2959467</v>
      </c>
      <c r="M584" s="1" t="s">
        <v>800</v>
      </c>
      <c r="N584" s="5">
        <f>DATE(2023,4,1)</f>
        <v>45017</v>
      </c>
      <c r="O584" s="5">
        <f>DATE(2024,9,30)</f>
        <v>45565</v>
      </c>
      <c r="P584" s="5">
        <f t="shared" si="207"/>
        <v>46660</v>
      </c>
      <c r="Q584" s="1">
        <v>1200</v>
      </c>
      <c r="R584" s="1">
        <v>800</v>
      </c>
      <c r="S584" s="1">
        <f t="shared" si="208"/>
        <v>800</v>
      </c>
      <c r="T584" s="1">
        <v>1.5</v>
      </c>
      <c r="U584" s="1" t="str">
        <f t="shared" si="209"/>
        <v>SIM</v>
      </c>
      <c r="V584" s="1">
        <f t="shared" si="210"/>
        <v>549</v>
      </c>
      <c r="W584" s="4">
        <f t="shared" si="211"/>
        <v>1.4571948998178506</v>
      </c>
      <c r="X584" s="4">
        <f t="shared" si="212"/>
        <v>531.87613843351551</v>
      </c>
      <c r="Y584" s="4">
        <f t="shared" si="213"/>
        <v>0.66484517304189439</v>
      </c>
      <c r="AB584" s="5">
        <f t="shared" si="214"/>
        <v>45292</v>
      </c>
      <c r="AC584" s="5">
        <f t="shared" si="215"/>
        <v>45657</v>
      </c>
      <c r="AD584" s="1">
        <v>63</v>
      </c>
      <c r="AE584" s="1">
        <f t="shared" si="216"/>
        <v>0</v>
      </c>
      <c r="AF584" s="1">
        <f t="shared" si="217"/>
        <v>0</v>
      </c>
      <c r="AG584" s="1">
        <f t="shared" si="218"/>
        <v>274</v>
      </c>
      <c r="AH584" s="1">
        <f t="shared" si="219"/>
        <v>0</v>
      </c>
      <c r="AI584" s="1">
        <f t="shared" si="220"/>
        <v>0</v>
      </c>
      <c r="AJ584" s="3">
        <f t="shared" si="221"/>
        <v>0.74863387978142082</v>
      </c>
      <c r="AK584" s="3">
        <f t="shared" si="222"/>
        <v>0.4977256213483035</v>
      </c>
      <c r="AL584" s="3">
        <f t="shared" si="223"/>
        <v>31.356714144943119</v>
      </c>
      <c r="AM584" s="3">
        <f t="shared" si="224"/>
        <v>47.035071217414682</v>
      </c>
      <c r="AN584" s="3">
        <f t="shared" si="225"/>
        <v>0</v>
      </c>
      <c r="AO584" s="3">
        <f t="shared" si="226"/>
        <v>47.035071217414682</v>
      </c>
      <c r="AP584" s="1" t="str">
        <f>INDEX({"EAD";"EAD";"EAD";"EAD MOOC";"EAD";"EAD";"EAD FP";"EAD";"PRESENCIAL";"PRESENCIAL";"PRESENCIAL";"PRESENCIAL"}, MATCH(CONCATENATE(E584, ".", F584),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85" spans="1:42" x14ac:dyDescent="0.25">
      <c r="A585" s="1" t="s">
        <v>27</v>
      </c>
      <c r="B585" s="1" t="s">
        <v>43</v>
      </c>
      <c r="C585" s="1" t="s">
        <v>29</v>
      </c>
      <c r="D585" s="1" t="s">
        <v>44</v>
      </c>
      <c r="E585" s="1" t="s">
        <v>170</v>
      </c>
      <c r="F585" s="1" t="s">
        <v>510</v>
      </c>
      <c r="G585" s="1" t="s">
        <v>278</v>
      </c>
      <c r="H585" s="1" t="s">
        <v>608</v>
      </c>
      <c r="I585" s="1" t="s">
        <v>172</v>
      </c>
      <c r="J585" s="1" t="s">
        <v>125</v>
      </c>
      <c r="K585" s="1" t="s">
        <v>109</v>
      </c>
      <c r="L585" s="1">
        <v>2986775</v>
      </c>
      <c r="M585" s="1" t="s">
        <v>801</v>
      </c>
      <c r="N585" s="5">
        <f>DATE(2023,5,15)</f>
        <v>45061</v>
      </c>
      <c r="O585" s="5">
        <f>DATE(2027,5,19)</f>
        <v>46526</v>
      </c>
      <c r="P585" s="5">
        <f t="shared" si="207"/>
        <v>47621</v>
      </c>
      <c r="Q585" s="1">
        <v>3960</v>
      </c>
      <c r="R585" s="1">
        <v>3200</v>
      </c>
      <c r="S585" s="1">
        <f t="shared" si="208"/>
        <v>3200</v>
      </c>
      <c r="T585" s="1">
        <v>2.5</v>
      </c>
      <c r="U585" s="1" t="str">
        <f t="shared" si="209"/>
        <v>SIM</v>
      </c>
      <c r="V585" s="1">
        <f t="shared" si="210"/>
        <v>1466</v>
      </c>
      <c r="W585" s="4">
        <f t="shared" si="211"/>
        <v>2.1828103683492497</v>
      </c>
      <c r="X585" s="4">
        <f t="shared" si="212"/>
        <v>796.72578444747614</v>
      </c>
      <c r="Y585" s="4">
        <f t="shared" si="213"/>
        <v>0.99590723055934516</v>
      </c>
      <c r="AB585" s="5">
        <f t="shared" si="214"/>
        <v>45292</v>
      </c>
      <c r="AC585" s="5">
        <f t="shared" si="215"/>
        <v>45657</v>
      </c>
      <c r="AD585" s="1">
        <v>183</v>
      </c>
      <c r="AE585" s="1">
        <f t="shared" si="216"/>
        <v>366</v>
      </c>
      <c r="AF585" s="1">
        <f t="shared" si="217"/>
        <v>0</v>
      </c>
      <c r="AG585" s="1">
        <f t="shared" si="218"/>
        <v>0</v>
      </c>
      <c r="AH585" s="1">
        <f t="shared" si="219"/>
        <v>0</v>
      </c>
      <c r="AI585" s="1">
        <f t="shared" si="220"/>
        <v>0</v>
      </c>
      <c r="AJ585" s="3">
        <f t="shared" si="221"/>
        <v>1</v>
      </c>
      <c r="AK585" s="3">
        <f t="shared" si="222"/>
        <v>0.99590723055934516</v>
      </c>
      <c r="AL585" s="3">
        <f t="shared" si="223"/>
        <v>182.25102319236015</v>
      </c>
      <c r="AM585" s="3">
        <f t="shared" si="224"/>
        <v>455.62755798090041</v>
      </c>
      <c r="AN585" s="3">
        <f t="shared" si="225"/>
        <v>0</v>
      </c>
      <c r="AO585" s="3">
        <f t="shared" si="226"/>
        <v>455.62755798090041</v>
      </c>
      <c r="AP585" s="1" t="str">
        <f>INDEX({"EAD";"EAD";"EAD";"EAD MOOC";"EAD";"EAD";"EAD FP";"EAD";"PRESENCIAL";"PRESENCIAL";"PRESENCIAL";"PRESENCIAL"}, MATCH(CONCATENATE(E585, ".", F585),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586" spans="1:42" x14ac:dyDescent="0.25">
      <c r="A586" s="1" t="s">
        <v>27</v>
      </c>
      <c r="B586" s="1" t="s">
        <v>43</v>
      </c>
      <c r="C586" s="1" t="s">
        <v>29</v>
      </c>
      <c r="D586" s="1" t="s">
        <v>44</v>
      </c>
      <c r="E586" s="1" t="s">
        <v>120</v>
      </c>
      <c r="F586" s="1" t="s">
        <v>21</v>
      </c>
      <c r="G586" s="1" t="s">
        <v>128</v>
      </c>
      <c r="H586" s="1" t="s">
        <v>582</v>
      </c>
      <c r="I586" s="1" t="s">
        <v>289</v>
      </c>
      <c r="J586" s="1" t="s">
        <v>125</v>
      </c>
      <c r="K586" s="1" t="s">
        <v>163</v>
      </c>
      <c r="L586" s="1">
        <v>3009853</v>
      </c>
      <c r="M586" s="1" t="s">
        <v>802</v>
      </c>
      <c r="N586" s="5">
        <f t="shared" ref="N586:N599" si="227">DATE(2023,7,24)</f>
        <v>45131</v>
      </c>
      <c r="O586" s="5">
        <f>DATE(2025,6,27)</f>
        <v>45835</v>
      </c>
      <c r="P586" s="5">
        <f t="shared" si="207"/>
        <v>46930</v>
      </c>
      <c r="Q586" s="1">
        <v>1258</v>
      </c>
      <c r="R586" s="1">
        <v>1200</v>
      </c>
      <c r="S586" s="1">
        <f t="shared" si="208"/>
        <v>1200</v>
      </c>
      <c r="T586" s="1">
        <v>2.5</v>
      </c>
      <c r="U586" s="1" t="str">
        <f t="shared" si="209"/>
        <v>SIM</v>
      </c>
      <c r="V586" s="1">
        <f t="shared" si="210"/>
        <v>705</v>
      </c>
      <c r="W586" s="4">
        <f t="shared" si="211"/>
        <v>1.7021276595744681</v>
      </c>
      <c r="X586" s="4">
        <f t="shared" si="212"/>
        <v>621.27659574468089</v>
      </c>
      <c r="Y586" s="4">
        <f t="shared" si="213"/>
        <v>0.77659574468085113</v>
      </c>
      <c r="AB586" s="5">
        <f t="shared" si="214"/>
        <v>45292</v>
      </c>
      <c r="AC586" s="5">
        <f t="shared" si="215"/>
        <v>45657</v>
      </c>
      <c r="AD586" s="1">
        <v>19</v>
      </c>
      <c r="AE586" s="1">
        <f t="shared" si="216"/>
        <v>366</v>
      </c>
      <c r="AF586" s="1">
        <f t="shared" si="217"/>
        <v>0</v>
      </c>
      <c r="AG586" s="1">
        <f t="shared" si="218"/>
        <v>0</v>
      </c>
      <c r="AH586" s="1">
        <f t="shared" si="219"/>
        <v>0</v>
      </c>
      <c r="AI586" s="1">
        <f t="shared" si="220"/>
        <v>0</v>
      </c>
      <c r="AJ586" s="3">
        <f t="shared" si="221"/>
        <v>1</v>
      </c>
      <c r="AK586" s="3">
        <f t="shared" si="222"/>
        <v>0.77659574468085113</v>
      </c>
      <c r="AL586" s="3">
        <f t="shared" si="223"/>
        <v>14.755319148936172</v>
      </c>
      <c r="AM586" s="3">
        <f t="shared" si="224"/>
        <v>36.888297872340431</v>
      </c>
      <c r="AN586" s="3">
        <f t="shared" si="225"/>
        <v>0</v>
      </c>
      <c r="AO586" s="3">
        <f t="shared" si="226"/>
        <v>36.888297872340431</v>
      </c>
      <c r="AP586" s="1" t="str">
        <f>INDEX({"EAD";"EAD";"EAD";"EAD MOOC";"EAD";"EAD";"EAD FP";"EAD";"PRESENCIAL";"PRESENCIAL";"PRESENCIAL";"PRESENCIAL"}, MATCH(CONCATENATE(E586, ".", F586),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87" spans="1:42" x14ac:dyDescent="0.25">
      <c r="A587" s="1" t="s">
        <v>27</v>
      </c>
      <c r="B587" s="1" t="s">
        <v>43</v>
      </c>
      <c r="C587" s="1" t="s">
        <v>29</v>
      </c>
      <c r="D587" s="1" t="s">
        <v>44</v>
      </c>
      <c r="E587" s="1" t="s">
        <v>120</v>
      </c>
      <c r="F587" s="1" t="s">
        <v>21</v>
      </c>
      <c r="G587" s="1" t="s">
        <v>128</v>
      </c>
      <c r="H587" s="1" t="s">
        <v>559</v>
      </c>
      <c r="I587" s="1" t="s">
        <v>289</v>
      </c>
      <c r="J587" s="1" t="s">
        <v>125</v>
      </c>
      <c r="K587" s="1" t="s">
        <v>163</v>
      </c>
      <c r="L587" s="1">
        <v>3009856</v>
      </c>
      <c r="M587" s="1" t="s">
        <v>803</v>
      </c>
      <c r="N587" s="5">
        <f t="shared" si="227"/>
        <v>45131</v>
      </c>
      <c r="O587" s="5">
        <f>DATE(2025,6,27)</f>
        <v>45835</v>
      </c>
      <c r="P587" s="5">
        <f t="shared" si="207"/>
        <v>46930</v>
      </c>
      <c r="Q587" s="1">
        <v>1360</v>
      </c>
      <c r="R587" s="1">
        <v>1200</v>
      </c>
      <c r="S587" s="1">
        <f t="shared" si="208"/>
        <v>1200</v>
      </c>
      <c r="T587" s="1">
        <v>2.5</v>
      </c>
      <c r="U587" s="1" t="str">
        <f t="shared" si="209"/>
        <v>SIM</v>
      </c>
      <c r="V587" s="1">
        <f t="shared" si="210"/>
        <v>705</v>
      </c>
      <c r="W587" s="4">
        <f t="shared" si="211"/>
        <v>1.7021276595744681</v>
      </c>
      <c r="X587" s="4">
        <f t="shared" si="212"/>
        <v>621.27659574468089</v>
      </c>
      <c r="Y587" s="4">
        <f t="shared" si="213"/>
        <v>0.77659574468085113</v>
      </c>
      <c r="AB587" s="5">
        <f t="shared" si="214"/>
        <v>45292</v>
      </c>
      <c r="AC587" s="5">
        <f t="shared" si="215"/>
        <v>45657</v>
      </c>
      <c r="AD587" s="1">
        <v>19</v>
      </c>
      <c r="AE587" s="1">
        <f t="shared" si="216"/>
        <v>366</v>
      </c>
      <c r="AF587" s="1">
        <f t="shared" si="217"/>
        <v>0</v>
      </c>
      <c r="AG587" s="1">
        <f t="shared" si="218"/>
        <v>0</v>
      </c>
      <c r="AH587" s="1">
        <f t="shared" si="219"/>
        <v>0</v>
      </c>
      <c r="AI587" s="1">
        <f t="shared" si="220"/>
        <v>0</v>
      </c>
      <c r="AJ587" s="3">
        <f t="shared" si="221"/>
        <v>1</v>
      </c>
      <c r="AK587" s="3">
        <f t="shared" si="222"/>
        <v>0.77659574468085113</v>
      </c>
      <c r="AL587" s="3">
        <f t="shared" si="223"/>
        <v>14.755319148936172</v>
      </c>
      <c r="AM587" s="3">
        <f t="shared" si="224"/>
        <v>36.888297872340431</v>
      </c>
      <c r="AN587" s="3">
        <f t="shared" si="225"/>
        <v>0</v>
      </c>
      <c r="AO587" s="3">
        <f t="shared" si="226"/>
        <v>36.888297872340431</v>
      </c>
      <c r="AP587" s="1" t="str">
        <f>INDEX({"EAD";"EAD";"EAD";"EAD MOOC";"EAD";"EAD";"EAD FP";"EAD";"PRESENCIAL";"PRESENCIAL";"PRESENCIAL";"PRESENCIAL"}, MATCH(CONCATENATE(E587, ".", F587),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88" spans="1:42" x14ac:dyDescent="0.25">
      <c r="A588" s="1" t="s">
        <v>27</v>
      </c>
      <c r="B588" s="1" t="s">
        <v>43</v>
      </c>
      <c r="C588" s="1" t="s">
        <v>29</v>
      </c>
      <c r="D588" s="1" t="s">
        <v>44</v>
      </c>
      <c r="E588" s="1" t="s">
        <v>120</v>
      </c>
      <c r="F588" s="1" t="s">
        <v>21</v>
      </c>
      <c r="G588" s="1" t="s">
        <v>128</v>
      </c>
      <c r="H588" s="1" t="s">
        <v>526</v>
      </c>
      <c r="I588" s="1" t="s">
        <v>503</v>
      </c>
      <c r="J588" s="1" t="s">
        <v>125</v>
      </c>
      <c r="K588" s="1" t="s">
        <v>163</v>
      </c>
      <c r="L588" s="1">
        <v>3009860</v>
      </c>
      <c r="M588" s="1" t="s">
        <v>804</v>
      </c>
      <c r="N588" s="5">
        <f t="shared" si="227"/>
        <v>45131</v>
      </c>
      <c r="O588" s="5">
        <f>DATE(2025,6,27)</f>
        <v>45835</v>
      </c>
      <c r="P588" s="5">
        <f t="shared" si="207"/>
        <v>46930</v>
      </c>
      <c r="Q588" s="1">
        <v>1347</v>
      </c>
      <c r="R588" s="1">
        <v>1200</v>
      </c>
      <c r="S588" s="1">
        <f t="shared" si="208"/>
        <v>1200</v>
      </c>
      <c r="T588" s="1">
        <v>2.5</v>
      </c>
      <c r="U588" s="1" t="str">
        <f t="shared" si="209"/>
        <v>SIM</v>
      </c>
      <c r="V588" s="1">
        <f t="shared" si="210"/>
        <v>705</v>
      </c>
      <c r="W588" s="4">
        <f t="shared" si="211"/>
        <v>1.7021276595744681</v>
      </c>
      <c r="X588" s="4">
        <f t="shared" si="212"/>
        <v>621.27659574468089</v>
      </c>
      <c r="Y588" s="4">
        <f t="shared" si="213"/>
        <v>0.77659574468085113</v>
      </c>
      <c r="AB588" s="5">
        <f t="shared" si="214"/>
        <v>45292</v>
      </c>
      <c r="AC588" s="5">
        <f t="shared" si="215"/>
        <v>45657</v>
      </c>
      <c r="AD588" s="1">
        <v>23</v>
      </c>
      <c r="AE588" s="1">
        <f t="shared" si="216"/>
        <v>366</v>
      </c>
      <c r="AF588" s="1">
        <f t="shared" si="217"/>
        <v>0</v>
      </c>
      <c r="AG588" s="1">
        <f t="shared" si="218"/>
        <v>0</v>
      </c>
      <c r="AH588" s="1">
        <f t="shared" si="219"/>
        <v>0</v>
      </c>
      <c r="AI588" s="1">
        <f t="shared" si="220"/>
        <v>0</v>
      </c>
      <c r="AJ588" s="3">
        <f t="shared" si="221"/>
        <v>1</v>
      </c>
      <c r="AK588" s="3">
        <f t="shared" si="222"/>
        <v>0.77659574468085113</v>
      </c>
      <c r="AL588" s="3">
        <f t="shared" si="223"/>
        <v>17.861702127659576</v>
      </c>
      <c r="AM588" s="3">
        <f t="shared" si="224"/>
        <v>44.654255319148945</v>
      </c>
      <c r="AN588" s="3">
        <f t="shared" si="225"/>
        <v>0</v>
      </c>
      <c r="AO588" s="3">
        <f t="shared" si="226"/>
        <v>44.654255319148945</v>
      </c>
      <c r="AP588" s="1" t="str">
        <f>INDEX({"EAD";"EAD";"EAD";"EAD MOOC";"EAD";"EAD";"EAD FP";"EAD";"PRESENCIAL";"PRESENCIAL";"PRESENCIAL";"PRESENCIAL"}, MATCH(CONCATENATE(E588, ".", F588),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89" spans="1:42" x14ac:dyDescent="0.25">
      <c r="A589" s="1" t="s">
        <v>27</v>
      </c>
      <c r="B589" s="1" t="s">
        <v>43</v>
      </c>
      <c r="C589" s="1" t="s">
        <v>29</v>
      </c>
      <c r="D589" s="1" t="s">
        <v>44</v>
      </c>
      <c r="E589" s="1" t="s">
        <v>120</v>
      </c>
      <c r="F589" s="1" t="s">
        <v>21</v>
      </c>
      <c r="G589" s="1" t="s">
        <v>128</v>
      </c>
      <c r="H589" s="1" t="s">
        <v>586</v>
      </c>
      <c r="I589" s="1" t="s">
        <v>503</v>
      </c>
      <c r="J589" s="1" t="s">
        <v>125</v>
      </c>
      <c r="K589" s="1" t="s">
        <v>163</v>
      </c>
      <c r="L589" s="1">
        <v>3009867</v>
      </c>
      <c r="M589" s="1" t="s">
        <v>805</v>
      </c>
      <c r="N589" s="5">
        <f t="shared" si="227"/>
        <v>45131</v>
      </c>
      <c r="O589" s="5">
        <f>DATE(2025,6,27)</f>
        <v>45835</v>
      </c>
      <c r="P589" s="5">
        <f t="shared" si="207"/>
        <v>46930</v>
      </c>
      <c r="Q589" s="1">
        <v>1343</v>
      </c>
      <c r="R589" s="1">
        <v>1200</v>
      </c>
      <c r="S589" s="1">
        <f t="shared" si="208"/>
        <v>1200</v>
      </c>
      <c r="T589" s="1">
        <v>2.5</v>
      </c>
      <c r="U589" s="1" t="str">
        <f t="shared" si="209"/>
        <v>SIM</v>
      </c>
      <c r="V589" s="1">
        <f t="shared" si="210"/>
        <v>705</v>
      </c>
      <c r="W589" s="4">
        <f t="shared" si="211"/>
        <v>1.7021276595744681</v>
      </c>
      <c r="X589" s="4">
        <f t="shared" si="212"/>
        <v>621.27659574468089</v>
      </c>
      <c r="Y589" s="4">
        <f t="shared" si="213"/>
        <v>0.77659574468085113</v>
      </c>
      <c r="AB589" s="5">
        <f t="shared" si="214"/>
        <v>45292</v>
      </c>
      <c r="AC589" s="5">
        <f t="shared" si="215"/>
        <v>45657</v>
      </c>
      <c r="AD589" s="1">
        <v>17</v>
      </c>
      <c r="AE589" s="1">
        <f t="shared" si="216"/>
        <v>366</v>
      </c>
      <c r="AF589" s="1">
        <f t="shared" si="217"/>
        <v>0</v>
      </c>
      <c r="AG589" s="1">
        <f t="shared" si="218"/>
        <v>0</v>
      </c>
      <c r="AH589" s="1">
        <f t="shared" si="219"/>
        <v>0</v>
      </c>
      <c r="AI589" s="1">
        <f t="shared" si="220"/>
        <v>0</v>
      </c>
      <c r="AJ589" s="3">
        <f t="shared" si="221"/>
        <v>1</v>
      </c>
      <c r="AK589" s="3">
        <f t="shared" si="222"/>
        <v>0.77659574468085113</v>
      </c>
      <c r="AL589" s="3">
        <f t="shared" si="223"/>
        <v>13.202127659574469</v>
      </c>
      <c r="AM589" s="3">
        <f t="shared" si="224"/>
        <v>33.005319148936174</v>
      </c>
      <c r="AN589" s="3">
        <f t="shared" si="225"/>
        <v>0</v>
      </c>
      <c r="AO589" s="3">
        <f t="shared" si="226"/>
        <v>33.005319148936174</v>
      </c>
      <c r="AP589" s="1" t="str">
        <f>INDEX({"EAD";"EAD";"EAD";"EAD MOOC";"EAD";"EAD";"EAD FP";"EAD";"PRESENCIAL";"PRESENCIAL";"PRESENCIAL";"PRESENCIAL"}, MATCH(CONCATENATE(E589, ".", F589),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90" spans="1:42" x14ac:dyDescent="0.25">
      <c r="A590" s="1" t="s">
        <v>27</v>
      </c>
      <c r="B590" s="1" t="s">
        <v>43</v>
      </c>
      <c r="C590" s="1" t="s">
        <v>29</v>
      </c>
      <c r="D590" s="1" t="s">
        <v>44</v>
      </c>
      <c r="E590" s="1" t="s">
        <v>120</v>
      </c>
      <c r="F590" s="1" t="s">
        <v>21</v>
      </c>
      <c r="G590" s="1" t="s">
        <v>121</v>
      </c>
      <c r="H590" s="1" t="s">
        <v>806</v>
      </c>
      <c r="I590" s="1" t="s">
        <v>289</v>
      </c>
      <c r="J590" s="1" t="s">
        <v>125</v>
      </c>
      <c r="K590" s="1" t="s">
        <v>109</v>
      </c>
      <c r="L590" s="1">
        <v>3009970</v>
      </c>
      <c r="M590" s="1" t="s">
        <v>807</v>
      </c>
      <c r="N590" s="5">
        <f t="shared" si="227"/>
        <v>45131</v>
      </c>
      <c r="O590" s="5">
        <f>DATE(2028,7,14)</f>
        <v>46948</v>
      </c>
      <c r="P590" s="5">
        <f t="shared" si="207"/>
        <v>48043</v>
      </c>
      <c r="Q590" s="1">
        <v>3620</v>
      </c>
      <c r="R590" s="1">
        <v>3600</v>
      </c>
      <c r="S590" s="1">
        <f t="shared" si="208"/>
        <v>3600</v>
      </c>
      <c r="T590" s="1">
        <v>2.5</v>
      </c>
      <c r="U590" s="1" t="str">
        <f t="shared" si="209"/>
        <v>SIM</v>
      </c>
      <c r="V590" s="1">
        <f t="shared" si="210"/>
        <v>1818</v>
      </c>
      <c r="W590" s="4">
        <f t="shared" si="211"/>
        <v>1.9801980198019802</v>
      </c>
      <c r="X590" s="4">
        <f t="shared" si="212"/>
        <v>722.77227722772273</v>
      </c>
      <c r="Y590" s="4">
        <f t="shared" si="213"/>
        <v>0.90346534653465338</v>
      </c>
      <c r="AB590" s="5">
        <f t="shared" si="214"/>
        <v>45292</v>
      </c>
      <c r="AC590" s="5">
        <f t="shared" si="215"/>
        <v>45657</v>
      </c>
      <c r="AD590" s="1">
        <v>34</v>
      </c>
      <c r="AE590" s="1">
        <f t="shared" si="216"/>
        <v>366</v>
      </c>
      <c r="AF590" s="1">
        <f t="shared" si="217"/>
        <v>0</v>
      </c>
      <c r="AG590" s="1">
        <f t="shared" si="218"/>
        <v>0</v>
      </c>
      <c r="AH590" s="1">
        <f t="shared" si="219"/>
        <v>0</v>
      </c>
      <c r="AI590" s="1">
        <f t="shared" si="220"/>
        <v>0</v>
      </c>
      <c r="AJ590" s="3">
        <f t="shared" si="221"/>
        <v>1</v>
      </c>
      <c r="AK590" s="3">
        <f t="shared" si="222"/>
        <v>0.90346534653465338</v>
      </c>
      <c r="AL590" s="3">
        <f t="shared" si="223"/>
        <v>30.717821782178216</v>
      </c>
      <c r="AM590" s="3">
        <f t="shared" si="224"/>
        <v>76.794554455445535</v>
      </c>
      <c r="AN590" s="3">
        <f t="shared" si="225"/>
        <v>0</v>
      </c>
      <c r="AO590" s="3">
        <f t="shared" si="226"/>
        <v>76.794554455445535</v>
      </c>
      <c r="AP590" s="1" t="str">
        <f>INDEX({"EAD";"EAD";"EAD";"EAD MOOC";"EAD";"EAD";"EAD FP";"EAD";"PRESENCIAL";"PRESENCIAL";"PRESENCIAL";"PRESENCIAL"}, MATCH(CONCATENATE(E590, ".", F590),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91" spans="1:42" x14ac:dyDescent="0.25">
      <c r="A591" s="1" t="s">
        <v>27</v>
      </c>
      <c r="B591" s="1" t="s">
        <v>43</v>
      </c>
      <c r="C591" s="1" t="s">
        <v>29</v>
      </c>
      <c r="D591" s="1" t="s">
        <v>44</v>
      </c>
      <c r="E591" s="1" t="s">
        <v>120</v>
      </c>
      <c r="F591" s="1" t="s">
        <v>21</v>
      </c>
      <c r="G591" s="1" t="s">
        <v>121</v>
      </c>
      <c r="H591" s="1" t="s">
        <v>506</v>
      </c>
      <c r="I591" s="1" t="s">
        <v>209</v>
      </c>
      <c r="J591" s="1" t="s">
        <v>125</v>
      </c>
      <c r="K591" s="1" t="s">
        <v>109</v>
      </c>
      <c r="L591" s="1">
        <v>3009977</v>
      </c>
      <c r="M591" s="1" t="s">
        <v>808</v>
      </c>
      <c r="N591" s="5">
        <f t="shared" si="227"/>
        <v>45131</v>
      </c>
      <c r="O591" s="5">
        <f>DATE(2028,7,14)</f>
        <v>46948</v>
      </c>
      <c r="P591" s="5">
        <f t="shared" si="207"/>
        <v>48043</v>
      </c>
      <c r="Q591" s="1">
        <v>4085</v>
      </c>
      <c r="R591" s="1">
        <v>3200</v>
      </c>
      <c r="S591" s="1">
        <f t="shared" si="208"/>
        <v>3200</v>
      </c>
      <c r="T591" s="1">
        <v>2.5</v>
      </c>
      <c r="U591" s="1" t="str">
        <f t="shared" si="209"/>
        <v>SIM</v>
      </c>
      <c r="V591" s="1">
        <f t="shared" si="210"/>
        <v>1818</v>
      </c>
      <c r="W591" s="4">
        <f t="shared" si="211"/>
        <v>1.7601760176017602</v>
      </c>
      <c r="X591" s="4">
        <f t="shared" si="212"/>
        <v>642.46424642464251</v>
      </c>
      <c r="Y591" s="4">
        <f t="shared" si="213"/>
        <v>0.8030803080308031</v>
      </c>
      <c r="AB591" s="5">
        <f t="shared" si="214"/>
        <v>45292</v>
      </c>
      <c r="AC591" s="5">
        <f t="shared" si="215"/>
        <v>45657</v>
      </c>
      <c r="AD591" s="1">
        <v>34</v>
      </c>
      <c r="AE591" s="1">
        <f t="shared" si="216"/>
        <v>366</v>
      </c>
      <c r="AF591" s="1">
        <f t="shared" si="217"/>
        <v>0</v>
      </c>
      <c r="AG591" s="1">
        <f t="shared" si="218"/>
        <v>0</v>
      </c>
      <c r="AH591" s="1">
        <f t="shared" si="219"/>
        <v>0</v>
      </c>
      <c r="AI591" s="1">
        <f t="shared" si="220"/>
        <v>0</v>
      </c>
      <c r="AJ591" s="3">
        <f t="shared" si="221"/>
        <v>1</v>
      </c>
      <c r="AK591" s="3">
        <f t="shared" si="222"/>
        <v>0.8030803080308031</v>
      </c>
      <c r="AL591" s="3">
        <f t="shared" si="223"/>
        <v>27.304730473047307</v>
      </c>
      <c r="AM591" s="3">
        <f t="shared" si="224"/>
        <v>68.261826182618265</v>
      </c>
      <c r="AN591" s="3">
        <f t="shared" si="225"/>
        <v>0</v>
      </c>
      <c r="AO591" s="3">
        <f t="shared" si="226"/>
        <v>68.261826182618265</v>
      </c>
      <c r="AP591" s="1" t="str">
        <f>INDEX({"EAD";"EAD";"EAD";"EAD MOOC";"EAD";"EAD";"EAD FP";"EAD";"PRESENCIAL";"PRESENCIAL";"PRESENCIAL";"PRESENCIAL"}, MATCH(CONCATENATE(E591, ".", F591),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92" spans="1:42" x14ac:dyDescent="0.25">
      <c r="A592" s="1" t="s">
        <v>27</v>
      </c>
      <c r="B592" s="1" t="s">
        <v>43</v>
      </c>
      <c r="C592" s="1" t="s">
        <v>29</v>
      </c>
      <c r="D592" s="1" t="s">
        <v>44</v>
      </c>
      <c r="E592" s="1" t="s">
        <v>120</v>
      </c>
      <c r="F592" s="1" t="s">
        <v>21</v>
      </c>
      <c r="G592" s="1" t="s">
        <v>121</v>
      </c>
      <c r="H592" s="1" t="s">
        <v>508</v>
      </c>
      <c r="I592" s="1" t="s">
        <v>503</v>
      </c>
      <c r="J592" s="1" t="s">
        <v>125</v>
      </c>
      <c r="K592" s="1" t="s">
        <v>109</v>
      </c>
      <c r="L592" s="1">
        <v>3009978</v>
      </c>
      <c r="M592" s="1" t="s">
        <v>809</v>
      </c>
      <c r="N592" s="5">
        <f t="shared" si="227"/>
        <v>45131</v>
      </c>
      <c r="O592" s="5">
        <f>DATE(2028,7,14)</f>
        <v>46948</v>
      </c>
      <c r="P592" s="5">
        <f t="shared" si="207"/>
        <v>48043</v>
      </c>
      <c r="Q592" s="1">
        <v>4070</v>
      </c>
      <c r="R592" s="1">
        <v>3600</v>
      </c>
      <c r="S592" s="1">
        <f t="shared" si="208"/>
        <v>3600</v>
      </c>
      <c r="T592" s="1">
        <v>2.5</v>
      </c>
      <c r="U592" s="1" t="str">
        <f t="shared" si="209"/>
        <v>SIM</v>
      </c>
      <c r="V592" s="1">
        <f t="shared" si="210"/>
        <v>1818</v>
      </c>
      <c r="W592" s="4">
        <f t="shared" si="211"/>
        <v>1.9801980198019802</v>
      </c>
      <c r="X592" s="4">
        <f t="shared" si="212"/>
        <v>722.77227722772273</v>
      </c>
      <c r="Y592" s="4">
        <f t="shared" si="213"/>
        <v>0.90346534653465338</v>
      </c>
      <c r="AB592" s="5">
        <f t="shared" si="214"/>
        <v>45292</v>
      </c>
      <c r="AC592" s="5">
        <f t="shared" si="215"/>
        <v>45657</v>
      </c>
      <c r="AD592" s="1">
        <v>16</v>
      </c>
      <c r="AE592" s="1">
        <f t="shared" si="216"/>
        <v>366</v>
      </c>
      <c r="AF592" s="1">
        <f t="shared" si="217"/>
        <v>0</v>
      </c>
      <c r="AG592" s="1">
        <f t="shared" si="218"/>
        <v>0</v>
      </c>
      <c r="AH592" s="1">
        <f t="shared" si="219"/>
        <v>0</v>
      </c>
      <c r="AI592" s="1">
        <f t="shared" si="220"/>
        <v>0</v>
      </c>
      <c r="AJ592" s="3">
        <f t="shared" si="221"/>
        <v>1</v>
      </c>
      <c r="AK592" s="3">
        <f t="shared" si="222"/>
        <v>0.90346534653465338</v>
      </c>
      <c r="AL592" s="3">
        <f t="shared" si="223"/>
        <v>14.455445544554454</v>
      </c>
      <c r="AM592" s="3">
        <f t="shared" si="224"/>
        <v>36.138613861386133</v>
      </c>
      <c r="AN592" s="3">
        <f t="shared" si="225"/>
        <v>0</v>
      </c>
      <c r="AO592" s="3">
        <f t="shared" si="226"/>
        <v>36.138613861386133</v>
      </c>
      <c r="AP592" s="1" t="str">
        <f>INDEX({"EAD";"EAD";"EAD";"EAD MOOC";"EAD";"EAD";"EAD FP";"EAD";"PRESENCIAL";"PRESENCIAL";"PRESENCIAL";"PRESENCIAL"}, MATCH(CONCATENATE(E592, ".", F592),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93" spans="1:42" x14ac:dyDescent="0.25">
      <c r="A593" s="1" t="s">
        <v>27</v>
      </c>
      <c r="B593" s="1" t="s">
        <v>43</v>
      </c>
      <c r="C593" s="1" t="s">
        <v>29</v>
      </c>
      <c r="D593" s="1" t="s">
        <v>44</v>
      </c>
      <c r="E593" s="1" t="s">
        <v>120</v>
      </c>
      <c r="F593" s="1" t="s">
        <v>21</v>
      </c>
      <c r="G593" s="1" t="s">
        <v>121</v>
      </c>
      <c r="H593" s="1" t="s">
        <v>662</v>
      </c>
      <c r="I593" s="1" t="s">
        <v>503</v>
      </c>
      <c r="J593" s="1" t="s">
        <v>125</v>
      </c>
      <c r="K593" s="1" t="s">
        <v>109</v>
      </c>
      <c r="L593" s="1">
        <v>3009982</v>
      </c>
      <c r="M593" s="1" t="s">
        <v>810</v>
      </c>
      <c r="N593" s="5">
        <f t="shared" si="227"/>
        <v>45131</v>
      </c>
      <c r="O593" s="5">
        <f>DATE(2028,7,14)</f>
        <v>46948</v>
      </c>
      <c r="P593" s="5">
        <f t="shared" si="207"/>
        <v>48043</v>
      </c>
      <c r="Q593" s="1">
        <v>3662</v>
      </c>
      <c r="R593" s="1">
        <v>3600</v>
      </c>
      <c r="S593" s="1">
        <f t="shared" si="208"/>
        <v>3600</v>
      </c>
      <c r="T593" s="1">
        <v>2.5</v>
      </c>
      <c r="U593" s="1" t="str">
        <f t="shared" si="209"/>
        <v>SIM</v>
      </c>
      <c r="V593" s="1">
        <f t="shared" si="210"/>
        <v>1818</v>
      </c>
      <c r="W593" s="4">
        <f t="shared" si="211"/>
        <v>1.9801980198019802</v>
      </c>
      <c r="X593" s="4">
        <f t="shared" si="212"/>
        <v>722.77227722772273</v>
      </c>
      <c r="Y593" s="4">
        <f t="shared" si="213"/>
        <v>0.90346534653465338</v>
      </c>
      <c r="AB593" s="5">
        <f t="shared" si="214"/>
        <v>45292</v>
      </c>
      <c r="AC593" s="5">
        <f t="shared" si="215"/>
        <v>45657</v>
      </c>
      <c r="AD593" s="1">
        <v>32</v>
      </c>
      <c r="AE593" s="1">
        <f t="shared" si="216"/>
        <v>366</v>
      </c>
      <c r="AF593" s="1">
        <f t="shared" si="217"/>
        <v>0</v>
      </c>
      <c r="AG593" s="1">
        <f t="shared" si="218"/>
        <v>0</v>
      </c>
      <c r="AH593" s="1">
        <f t="shared" si="219"/>
        <v>0</v>
      </c>
      <c r="AI593" s="1">
        <f t="shared" si="220"/>
        <v>0</v>
      </c>
      <c r="AJ593" s="3">
        <f t="shared" si="221"/>
        <v>1</v>
      </c>
      <c r="AK593" s="3">
        <f t="shared" si="222"/>
        <v>0.90346534653465338</v>
      </c>
      <c r="AL593" s="3">
        <f t="shared" si="223"/>
        <v>28.910891089108908</v>
      </c>
      <c r="AM593" s="3">
        <f t="shared" si="224"/>
        <v>72.277227722772267</v>
      </c>
      <c r="AN593" s="3">
        <f t="shared" si="225"/>
        <v>0</v>
      </c>
      <c r="AO593" s="3">
        <f t="shared" si="226"/>
        <v>72.277227722772267</v>
      </c>
      <c r="AP593" s="1" t="str">
        <f>INDEX({"EAD";"EAD";"EAD";"EAD MOOC";"EAD";"EAD";"EAD FP";"EAD";"PRESENCIAL";"PRESENCIAL";"PRESENCIAL";"PRESENCIAL"}, MATCH(CONCATENATE(E593, ".", F593),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94" spans="1:42" x14ac:dyDescent="0.25">
      <c r="A594" s="1" t="s">
        <v>27</v>
      </c>
      <c r="B594" s="1" t="s">
        <v>43</v>
      </c>
      <c r="C594" s="1" t="s">
        <v>29</v>
      </c>
      <c r="D594" s="1" t="s">
        <v>44</v>
      </c>
      <c r="E594" s="1" t="s">
        <v>120</v>
      </c>
      <c r="F594" s="1" t="s">
        <v>21</v>
      </c>
      <c r="G594" s="1" t="s">
        <v>121</v>
      </c>
      <c r="H594" s="1" t="s">
        <v>495</v>
      </c>
      <c r="I594" s="1" t="s">
        <v>124</v>
      </c>
      <c r="J594" s="1" t="s">
        <v>125</v>
      </c>
      <c r="K594" s="1" t="s">
        <v>109</v>
      </c>
      <c r="L594" s="1">
        <v>3009983</v>
      </c>
      <c r="M594" s="1" t="s">
        <v>811</v>
      </c>
      <c r="N594" s="5">
        <f t="shared" si="227"/>
        <v>45131</v>
      </c>
      <c r="O594" s="5">
        <f>DATE(2026,7,17)</f>
        <v>46220</v>
      </c>
      <c r="P594" s="5">
        <f t="shared" si="207"/>
        <v>47315</v>
      </c>
      <c r="Q594" s="1">
        <v>2802</v>
      </c>
      <c r="R594" s="1">
        <v>2400</v>
      </c>
      <c r="S594" s="1">
        <f t="shared" si="208"/>
        <v>2400</v>
      </c>
      <c r="T594" s="1">
        <v>1</v>
      </c>
      <c r="U594" s="1" t="str">
        <f t="shared" si="209"/>
        <v>SIM</v>
      </c>
      <c r="V594" s="1">
        <f t="shared" si="210"/>
        <v>1090</v>
      </c>
      <c r="W594" s="4">
        <f t="shared" si="211"/>
        <v>2.2018348623853212</v>
      </c>
      <c r="X594" s="4">
        <f t="shared" si="212"/>
        <v>803.66972477064223</v>
      </c>
      <c r="Y594" s="4">
        <f t="shared" si="213"/>
        <v>1.0045871559633028</v>
      </c>
      <c r="AB594" s="5">
        <f t="shared" si="214"/>
        <v>45292</v>
      </c>
      <c r="AC594" s="5">
        <f t="shared" si="215"/>
        <v>45657</v>
      </c>
      <c r="AD594" s="1">
        <v>28</v>
      </c>
      <c r="AE594" s="1">
        <f t="shared" si="216"/>
        <v>366</v>
      </c>
      <c r="AF594" s="1">
        <f t="shared" si="217"/>
        <v>0</v>
      </c>
      <c r="AG594" s="1">
        <f t="shared" si="218"/>
        <v>0</v>
      </c>
      <c r="AH594" s="1">
        <f t="shared" si="219"/>
        <v>0</v>
      </c>
      <c r="AI594" s="1">
        <f t="shared" si="220"/>
        <v>0</v>
      </c>
      <c r="AJ594" s="3">
        <f t="shared" si="221"/>
        <v>1</v>
      </c>
      <c r="AK594" s="3">
        <f t="shared" si="222"/>
        <v>1.0045871559633028</v>
      </c>
      <c r="AL594" s="3">
        <f t="shared" si="223"/>
        <v>28.12844036697248</v>
      </c>
      <c r="AM594" s="3">
        <f t="shared" si="224"/>
        <v>28.12844036697248</v>
      </c>
      <c r="AN594" s="3">
        <f t="shared" si="225"/>
        <v>0</v>
      </c>
      <c r="AO594" s="3">
        <f t="shared" si="226"/>
        <v>28.12844036697248</v>
      </c>
      <c r="AP594" s="1" t="str">
        <f>INDEX({"EAD";"EAD";"EAD";"EAD MOOC";"EAD";"EAD";"EAD FP";"EAD";"PRESENCIAL";"PRESENCIAL";"PRESENCIAL";"PRESENCIAL"}, MATCH(CONCATENATE(E594, ".", F594),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95" spans="1:42" x14ac:dyDescent="0.25">
      <c r="A595" s="1" t="s">
        <v>27</v>
      </c>
      <c r="B595" s="1" t="s">
        <v>43</v>
      </c>
      <c r="C595" s="1" t="s">
        <v>29</v>
      </c>
      <c r="D595" s="1" t="s">
        <v>44</v>
      </c>
      <c r="E595" s="1" t="s">
        <v>120</v>
      </c>
      <c r="F595" s="1" t="s">
        <v>21</v>
      </c>
      <c r="G595" s="1" t="s">
        <v>121</v>
      </c>
      <c r="H595" s="1" t="s">
        <v>537</v>
      </c>
      <c r="I595" s="1" t="s">
        <v>187</v>
      </c>
      <c r="J595" s="1" t="s">
        <v>125</v>
      </c>
      <c r="K595" s="1" t="s">
        <v>109</v>
      </c>
      <c r="L595" s="1">
        <v>3009987</v>
      </c>
      <c r="M595" s="1" t="s">
        <v>812</v>
      </c>
      <c r="N595" s="5">
        <f t="shared" si="227"/>
        <v>45131</v>
      </c>
      <c r="O595" s="5">
        <f>DATE(2026,7,17)</f>
        <v>46220</v>
      </c>
      <c r="P595" s="5">
        <f t="shared" si="207"/>
        <v>47315</v>
      </c>
      <c r="Q595" s="1">
        <v>2600</v>
      </c>
      <c r="R595" s="1">
        <v>2400</v>
      </c>
      <c r="S595" s="1">
        <f t="shared" si="208"/>
        <v>2400</v>
      </c>
      <c r="T595" s="1">
        <v>1</v>
      </c>
      <c r="U595" s="1" t="str">
        <f t="shared" si="209"/>
        <v>SIM</v>
      </c>
      <c r="V595" s="1">
        <f t="shared" si="210"/>
        <v>1090</v>
      </c>
      <c r="W595" s="4">
        <f t="shared" si="211"/>
        <v>2.2018348623853212</v>
      </c>
      <c r="X595" s="4">
        <f t="shared" si="212"/>
        <v>803.66972477064223</v>
      </c>
      <c r="Y595" s="4">
        <f t="shared" si="213"/>
        <v>1.0045871559633028</v>
      </c>
      <c r="AB595" s="5">
        <f t="shared" si="214"/>
        <v>45292</v>
      </c>
      <c r="AC595" s="5">
        <f t="shared" si="215"/>
        <v>45657</v>
      </c>
      <c r="AD595" s="1">
        <v>23</v>
      </c>
      <c r="AE595" s="1">
        <f t="shared" si="216"/>
        <v>366</v>
      </c>
      <c r="AF595" s="1">
        <f t="shared" si="217"/>
        <v>0</v>
      </c>
      <c r="AG595" s="1">
        <f t="shared" si="218"/>
        <v>0</v>
      </c>
      <c r="AH595" s="1">
        <f t="shared" si="219"/>
        <v>0</v>
      </c>
      <c r="AI595" s="1">
        <f t="shared" si="220"/>
        <v>0</v>
      </c>
      <c r="AJ595" s="3">
        <f t="shared" si="221"/>
        <v>1</v>
      </c>
      <c r="AK595" s="3">
        <f t="shared" si="222"/>
        <v>1.0045871559633028</v>
      </c>
      <c r="AL595" s="3">
        <f t="shared" si="223"/>
        <v>23.105504587155966</v>
      </c>
      <c r="AM595" s="3">
        <f t="shared" si="224"/>
        <v>23.105504587155966</v>
      </c>
      <c r="AN595" s="3">
        <f t="shared" si="225"/>
        <v>0</v>
      </c>
      <c r="AO595" s="3">
        <f t="shared" si="226"/>
        <v>23.105504587155966</v>
      </c>
      <c r="AP595" s="1" t="str">
        <f>INDEX({"EAD";"EAD";"EAD";"EAD MOOC";"EAD";"EAD";"EAD FP";"EAD";"PRESENCIAL";"PRESENCIAL";"PRESENCIAL";"PRESENCIAL"}, MATCH(CONCATENATE(E595, ".", F595),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96" spans="1:42" x14ac:dyDescent="0.25">
      <c r="A596" s="1" t="s">
        <v>27</v>
      </c>
      <c r="B596" s="1" t="s">
        <v>43</v>
      </c>
      <c r="C596" s="1" t="s">
        <v>29</v>
      </c>
      <c r="D596" s="1" t="s">
        <v>44</v>
      </c>
      <c r="E596" s="1" t="s">
        <v>120</v>
      </c>
      <c r="F596" s="1" t="s">
        <v>21</v>
      </c>
      <c r="G596" s="1" t="s">
        <v>140</v>
      </c>
      <c r="H596" s="1" t="s">
        <v>529</v>
      </c>
      <c r="I596" s="1" t="s">
        <v>289</v>
      </c>
      <c r="J596" s="1" t="s">
        <v>125</v>
      </c>
      <c r="K596" s="1" t="s">
        <v>109</v>
      </c>
      <c r="L596" s="1">
        <v>3009990</v>
      </c>
      <c r="M596" s="1" t="s">
        <v>813</v>
      </c>
      <c r="N596" s="5">
        <f t="shared" si="227"/>
        <v>45131</v>
      </c>
      <c r="O596" s="5">
        <f>DATE(2026,12,23)</f>
        <v>46379</v>
      </c>
      <c r="P596" s="5">
        <f t="shared" si="207"/>
        <v>47474</v>
      </c>
      <c r="Q596" s="1">
        <v>2596</v>
      </c>
      <c r="R596" s="1">
        <v>2400</v>
      </c>
      <c r="S596" s="1">
        <f t="shared" si="208"/>
        <v>2400</v>
      </c>
      <c r="T596" s="1">
        <v>2.5</v>
      </c>
      <c r="U596" s="1" t="str">
        <f t="shared" si="209"/>
        <v>SIM</v>
      </c>
      <c r="V596" s="1">
        <f t="shared" si="210"/>
        <v>1249</v>
      </c>
      <c r="W596" s="4">
        <f t="shared" si="211"/>
        <v>1.9215372297838271</v>
      </c>
      <c r="X596" s="4">
        <f t="shared" si="212"/>
        <v>701.36108887109685</v>
      </c>
      <c r="Y596" s="4">
        <f t="shared" si="213"/>
        <v>0.87670136108887109</v>
      </c>
      <c r="AB596" s="5">
        <f t="shared" si="214"/>
        <v>45292</v>
      </c>
      <c r="AC596" s="5">
        <f t="shared" si="215"/>
        <v>45657</v>
      </c>
      <c r="AD596" s="1">
        <v>15</v>
      </c>
      <c r="AE596" s="1">
        <f t="shared" si="216"/>
        <v>366</v>
      </c>
      <c r="AF596" s="1">
        <f t="shared" si="217"/>
        <v>0</v>
      </c>
      <c r="AG596" s="1">
        <f t="shared" si="218"/>
        <v>0</v>
      </c>
      <c r="AH596" s="1">
        <f t="shared" si="219"/>
        <v>0</v>
      </c>
      <c r="AI596" s="1">
        <f t="shared" si="220"/>
        <v>0</v>
      </c>
      <c r="AJ596" s="3">
        <f t="shared" si="221"/>
        <v>1</v>
      </c>
      <c r="AK596" s="3">
        <f t="shared" si="222"/>
        <v>0.87670136108887109</v>
      </c>
      <c r="AL596" s="3">
        <f t="shared" si="223"/>
        <v>13.150520416333066</v>
      </c>
      <c r="AM596" s="3">
        <f t="shared" si="224"/>
        <v>32.876301040832665</v>
      </c>
      <c r="AN596" s="3">
        <f t="shared" si="225"/>
        <v>0</v>
      </c>
      <c r="AO596" s="3">
        <f t="shared" si="226"/>
        <v>32.876301040832665</v>
      </c>
      <c r="AP596" s="1" t="str">
        <f>INDEX({"EAD";"EAD";"EAD";"EAD MOOC";"EAD";"EAD";"EAD FP";"EAD";"PRESENCIAL";"PRESENCIAL";"PRESENCIAL";"PRESENCIAL"}, MATCH(CONCATENATE(E596, ".", F596),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97" spans="1:42" x14ac:dyDescent="0.25">
      <c r="A597" s="1" t="s">
        <v>27</v>
      </c>
      <c r="B597" s="1" t="s">
        <v>43</v>
      </c>
      <c r="C597" s="1" t="s">
        <v>29</v>
      </c>
      <c r="D597" s="1" t="s">
        <v>44</v>
      </c>
      <c r="E597" s="1" t="s">
        <v>120</v>
      </c>
      <c r="F597" s="1" t="s">
        <v>21</v>
      </c>
      <c r="G597" s="1" t="s">
        <v>140</v>
      </c>
      <c r="H597" s="1" t="s">
        <v>534</v>
      </c>
      <c r="I597" s="1" t="s">
        <v>289</v>
      </c>
      <c r="J597" s="1" t="s">
        <v>125</v>
      </c>
      <c r="K597" s="1" t="s">
        <v>109</v>
      </c>
      <c r="L597" s="1">
        <v>3009991</v>
      </c>
      <c r="M597" s="1" t="s">
        <v>814</v>
      </c>
      <c r="N597" s="5">
        <f t="shared" si="227"/>
        <v>45131</v>
      </c>
      <c r="O597" s="5">
        <f>DATE(2026,7,17)</f>
        <v>46220</v>
      </c>
      <c r="P597" s="5">
        <f t="shared" si="207"/>
        <v>47315</v>
      </c>
      <c r="Q597" s="1">
        <v>2548</v>
      </c>
      <c r="R597" s="1">
        <v>2400</v>
      </c>
      <c r="S597" s="1">
        <f t="shared" si="208"/>
        <v>2400</v>
      </c>
      <c r="T597" s="1">
        <v>2.5</v>
      </c>
      <c r="U597" s="1" t="str">
        <f t="shared" si="209"/>
        <v>SIM</v>
      </c>
      <c r="V597" s="1">
        <f t="shared" si="210"/>
        <v>1090</v>
      </c>
      <c r="W597" s="4">
        <f t="shared" si="211"/>
        <v>2.2018348623853212</v>
      </c>
      <c r="X597" s="4">
        <f t="shared" si="212"/>
        <v>803.66972477064223</v>
      </c>
      <c r="Y597" s="4">
        <f t="shared" si="213"/>
        <v>1.0045871559633028</v>
      </c>
      <c r="AB597" s="5">
        <f t="shared" si="214"/>
        <v>45292</v>
      </c>
      <c r="AC597" s="5">
        <f t="shared" si="215"/>
        <v>45657</v>
      </c>
      <c r="AD597" s="1">
        <v>20</v>
      </c>
      <c r="AE597" s="1">
        <f t="shared" si="216"/>
        <v>366</v>
      </c>
      <c r="AF597" s="1">
        <f t="shared" si="217"/>
        <v>0</v>
      </c>
      <c r="AG597" s="1">
        <f t="shared" si="218"/>
        <v>0</v>
      </c>
      <c r="AH597" s="1">
        <f t="shared" si="219"/>
        <v>0</v>
      </c>
      <c r="AI597" s="1">
        <f t="shared" si="220"/>
        <v>0</v>
      </c>
      <c r="AJ597" s="3">
        <f t="shared" si="221"/>
        <v>1</v>
      </c>
      <c r="AK597" s="3">
        <f t="shared" si="222"/>
        <v>1.0045871559633028</v>
      </c>
      <c r="AL597" s="3">
        <f t="shared" si="223"/>
        <v>20.091743119266056</v>
      </c>
      <c r="AM597" s="3">
        <f t="shared" si="224"/>
        <v>50.22935779816514</v>
      </c>
      <c r="AN597" s="3">
        <f t="shared" si="225"/>
        <v>0</v>
      </c>
      <c r="AO597" s="3">
        <f t="shared" si="226"/>
        <v>50.22935779816514</v>
      </c>
      <c r="AP597" s="1" t="str">
        <f>INDEX({"EAD";"EAD";"EAD";"EAD MOOC";"EAD";"EAD";"EAD FP";"EAD";"PRESENCIAL";"PRESENCIAL";"PRESENCIAL";"PRESENCIAL"}, MATCH(CONCATENATE(E597, ".", F597),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98" spans="1:42" x14ac:dyDescent="0.25">
      <c r="A598" s="1" t="s">
        <v>27</v>
      </c>
      <c r="B598" s="1" t="s">
        <v>43</v>
      </c>
      <c r="C598" s="1" t="s">
        <v>29</v>
      </c>
      <c r="D598" s="1" t="s">
        <v>44</v>
      </c>
      <c r="E598" s="1" t="s">
        <v>120</v>
      </c>
      <c r="F598" s="1" t="s">
        <v>21</v>
      </c>
      <c r="G598" s="1" t="s">
        <v>140</v>
      </c>
      <c r="H598" s="1" t="s">
        <v>550</v>
      </c>
      <c r="I598" s="1" t="s">
        <v>209</v>
      </c>
      <c r="J598" s="1" t="s">
        <v>125</v>
      </c>
      <c r="K598" s="1" t="s">
        <v>109</v>
      </c>
      <c r="L598" s="1">
        <v>3009992</v>
      </c>
      <c r="M598" s="1" t="s">
        <v>815</v>
      </c>
      <c r="N598" s="5">
        <f t="shared" si="227"/>
        <v>45131</v>
      </c>
      <c r="O598" s="5">
        <f>DATE(2026,7,17)</f>
        <v>46220</v>
      </c>
      <c r="P598" s="5">
        <f t="shared" si="207"/>
        <v>47315</v>
      </c>
      <c r="Q598" s="1">
        <v>2130</v>
      </c>
      <c r="R598" s="1">
        <v>2000</v>
      </c>
      <c r="S598" s="1">
        <f t="shared" si="208"/>
        <v>2000</v>
      </c>
      <c r="T598" s="1">
        <v>1.5</v>
      </c>
      <c r="U598" s="1" t="str">
        <f t="shared" si="209"/>
        <v>SIM</v>
      </c>
      <c r="V598" s="1">
        <f t="shared" si="210"/>
        <v>1090</v>
      </c>
      <c r="W598" s="4">
        <f t="shared" si="211"/>
        <v>1.834862385321101</v>
      </c>
      <c r="X598" s="4">
        <f t="shared" si="212"/>
        <v>669.72477064220186</v>
      </c>
      <c r="Y598" s="4">
        <f t="shared" si="213"/>
        <v>0.83715596330275233</v>
      </c>
      <c r="AB598" s="5">
        <f t="shared" si="214"/>
        <v>45292</v>
      </c>
      <c r="AC598" s="5">
        <f t="shared" si="215"/>
        <v>45657</v>
      </c>
      <c r="AD598" s="1">
        <v>24</v>
      </c>
      <c r="AE598" s="1">
        <f t="shared" si="216"/>
        <v>366</v>
      </c>
      <c r="AF598" s="1">
        <f t="shared" si="217"/>
        <v>0</v>
      </c>
      <c r="AG598" s="1">
        <f t="shared" si="218"/>
        <v>0</v>
      </c>
      <c r="AH598" s="1">
        <f t="shared" si="219"/>
        <v>0</v>
      </c>
      <c r="AI598" s="1">
        <f t="shared" si="220"/>
        <v>0</v>
      </c>
      <c r="AJ598" s="3">
        <f t="shared" si="221"/>
        <v>1</v>
      </c>
      <c r="AK598" s="3">
        <f t="shared" si="222"/>
        <v>0.83715596330275233</v>
      </c>
      <c r="AL598" s="3">
        <f t="shared" si="223"/>
        <v>20.091743119266056</v>
      </c>
      <c r="AM598" s="3">
        <f t="shared" si="224"/>
        <v>30.137614678899084</v>
      </c>
      <c r="AN598" s="3">
        <f t="shared" si="225"/>
        <v>0</v>
      </c>
      <c r="AO598" s="3">
        <f t="shared" si="226"/>
        <v>30.137614678899084</v>
      </c>
      <c r="AP598" s="1" t="str">
        <f>INDEX({"EAD";"EAD";"EAD";"EAD MOOC";"EAD";"EAD";"EAD FP";"EAD";"PRESENCIAL";"PRESENCIAL";"PRESENCIAL";"PRESENCIAL"}, MATCH(CONCATENATE(E598, ".", F598),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599" spans="1:42" x14ac:dyDescent="0.25">
      <c r="A599" s="1" t="s">
        <v>27</v>
      </c>
      <c r="B599" s="1" t="s">
        <v>43</v>
      </c>
      <c r="C599" s="1" t="s">
        <v>29</v>
      </c>
      <c r="D599" s="1" t="s">
        <v>44</v>
      </c>
      <c r="E599" s="1" t="s">
        <v>120</v>
      </c>
      <c r="F599" s="1" t="s">
        <v>21</v>
      </c>
      <c r="G599" s="1" t="s">
        <v>140</v>
      </c>
      <c r="H599" s="1" t="s">
        <v>500</v>
      </c>
      <c r="I599" s="1" t="s">
        <v>209</v>
      </c>
      <c r="J599" s="1" t="s">
        <v>125</v>
      </c>
      <c r="K599" s="1" t="s">
        <v>109</v>
      </c>
      <c r="L599" s="1">
        <v>3009995</v>
      </c>
      <c r="M599" s="1" t="s">
        <v>816</v>
      </c>
      <c r="N599" s="5">
        <f t="shared" si="227"/>
        <v>45131</v>
      </c>
      <c r="O599" s="5">
        <f>DATE(2026,7,17)</f>
        <v>46220</v>
      </c>
      <c r="P599" s="5">
        <f t="shared" si="207"/>
        <v>47315</v>
      </c>
      <c r="Q599" s="1">
        <v>2130</v>
      </c>
      <c r="R599" s="1">
        <v>2000</v>
      </c>
      <c r="S599" s="1">
        <f t="shared" si="208"/>
        <v>2000</v>
      </c>
      <c r="T599" s="1">
        <v>1</v>
      </c>
      <c r="U599" s="1" t="str">
        <f t="shared" si="209"/>
        <v>SIM</v>
      </c>
      <c r="V599" s="1">
        <f t="shared" si="210"/>
        <v>1090</v>
      </c>
      <c r="W599" s="4">
        <f t="shared" si="211"/>
        <v>1.834862385321101</v>
      </c>
      <c r="X599" s="4">
        <f t="shared" si="212"/>
        <v>669.72477064220186</v>
      </c>
      <c r="Y599" s="4">
        <f t="shared" si="213"/>
        <v>0.83715596330275233</v>
      </c>
      <c r="AB599" s="5">
        <f t="shared" si="214"/>
        <v>45292</v>
      </c>
      <c r="AC599" s="5">
        <f t="shared" si="215"/>
        <v>45657</v>
      </c>
      <c r="AD599" s="1">
        <v>19</v>
      </c>
      <c r="AE599" s="1">
        <f t="shared" si="216"/>
        <v>366</v>
      </c>
      <c r="AF599" s="1">
        <f t="shared" si="217"/>
        <v>0</v>
      </c>
      <c r="AG599" s="1">
        <f t="shared" si="218"/>
        <v>0</v>
      </c>
      <c r="AH599" s="1">
        <f t="shared" si="219"/>
        <v>0</v>
      </c>
      <c r="AI599" s="1">
        <f t="shared" si="220"/>
        <v>0</v>
      </c>
      <c r="AJ599" s="3">
        <f t="shared" si="221"/>
        <v>1</v>
      </c>
      <c r="AK599" s="3">
        <f t="shared" si="222"/>
        <v>0.83715596330275233</v>
      </c>
      <c r="AL599" s="3">
        <f t="shared" si="223"/>
        <v>15.905963302752294</v>
      </c>
      <c r="AM599" s="3">
        <f t="shared" si="224"/>
        <v>15.905963302752294</v>
      </c>
      <c r="AN599" s="3">
        <f t="shared" si="225"/>
        <v>0</v>
      </c>
      <c r="AO599" s="3">
        <f t="shared" si="226"/>
        <v>15.905963302752294</v>
      </c>
      <c r="AP599" s="1" t="str">
        <f>INDEX({"EAD";"EAD";"EAD";"EAD MOOC";"EAD";"EAD";"EAD FP";"EAD";"PRESENCIAL";"PRESENCIAL";"PRESENCIAL";"PRESENCIAL"}, MATCH(CONCATENATE(E599, ".", F599),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00" spans="1:42" x14ac:dyDescent="0.25">
      <c r="A600" s="1" t="s">
        <v>27</v>
      </c>
      <c r="B600" s="1" t="s">
        <v>43</v>
      </c>
      <c r="C600" s="1" t="s">
        <v>29</v>
      </c>
      <c r="D600" s="1" t="s">
        <v>44</v>
      </c>
      <c r="E600" s="1" t="s">
        <v>120</v>
      </c>
      <c r="F600" s="1" t="s">
        <v>447</v>
      </c>
      <c r="G600" s="1" t="s">
        <v>178</v>
      </c>
      <c r="H600" s="1" t="s">
        <v>817</v>
      </c>
      <c r="I600" s="1" t="s">
        <v>209</v>
      </c>
      <c r="J600" s="1" t="s">
        <v>125</v>
      </c>
      <c r="K600" s="1" t="s">
        <v>109</v>
      </c>
      <c r="L600" s="1">
        <v>3010844</v>
      </c>
      <c r="M600" s="1" t="s">
        <v>818</v>
      </c>
      <c r="N600" s="5">
        <f>DATE(2023,9,4)</f>
        <v>45173</v>
      </c>
      <c r="O600" s="5">
        <f>DATE(2025,4,25)</f>
        <v>45772</v>
      </c>
      <c r="P600" s="5">
        <f t="shared" si="207"/>
        <v>46867</v>
      </c>
      <c r="Q600" s="1">
        <v>360</v>
      </c>
      <c r="R600" s="1">
        <v>360</v>
      </c>
      <c r="S600" s="1">
        <f t="shared" si="208"/>
        <v>360</v>
      </c>
      <c r="T600" s="1">
        <v>1.5</v>
      </c>
      <c r="U600" s="1" t="str">
        <f t="shared" si="209"/>
        <v>SIM</v>
      </c>
      <c r="V600" s="1">
        <f t="shared" si="210"/>
        <v>600</v>
      </c>
      <c r="W600" s="4">
        <f t="shared" si="211"/>
        <v>0.6</v>
      </c>
      <c r="X600" s="4">
        <f t="shared" si="212"/>
        <v>219</v>
      </c>
      <c r="Y600" s="4">
        <f t="shared" si="213"/>
        <v>0.27374999999999999</v>
      </c>
      <c r="AB600" s="5">
        <f t="shared" si="214"/>
        <v>45292</v>
      </c>
      <c r="AC600" s="5">
        <f t="shared" si="215"/>
        <v>45657</v>
      </c>
      <c r="AD600" s="1">
        <v>37</v>
      </c>
      <c r="AE600" s="1">
        <f t="shared" si="216"/>
        <v>366</v>
      </c>
      <c r="AF600" s="1">
        <f t="shared" si="217"/>
        <v>0</v>
      </c>
      <c r="AG600" s="1">
        <f t="shared" si="218"/>
        <v>0</v>
      </c>
      <c r="AH600" s="1">
        <f t="shared" si="219"/>
        <v>0</v>
      </c>
      <c r="AI600" s="1">
        <f t="shared" si="220"/>
        <v>0</v>
      </c>
      <c r="AJ600" s="3">
        <f t="shared" si="221"/>
        <v>1</v>
      </c>
      <c r="AK600" s="3">
        <f t="shared" si="222"/>
        <v>0.27374999999999999</v>
      </c>
      <c r="AL600" s="3">
        <f t="shared" si="223"/>
        <v>10.12875</v>
      </c>
      <c r="AM600" s="3">
        <f t="shared" si="224"/>
        <v>15.193125</v>
      </c>
      <c r="AN600" s="3">
        <f t="shared" si="225"/>
        <v>0</v>
      </c>
      <c r="AO600" s="3">
        <f t="shared" si="226"/>
        <v>15.193125</v>
      </c>
      <c r="AP600" s="1" t="str">
        <f>INDEX({"EAD";"EAD";"EAD";"EAD MOOC";"EAD";"EAD";"EAD FP";"EAD";"PRESENCIAL";"PRESENCIAL";"PRESENCIAL";"PRESENCIAL"}, MATCH(CONCATENATE(E600, ".", F600),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01" spans="1:42" x14ac:dyDescent="0.25">
      <c r="A601" s="1" t="s">
        <v>27</v>
      </c>
      <c r="B601" s="1" t="s">
        <v>43</v>
      </c>
      <c r="C601" s="1" t="s">
        <v>29</v>
      </c>
      <c r="D601" s="1" t="s">
        <v>44</v>
      </c>
      <c r="E601" s="1" t="s">
        <v>120</v>
      </c>
      <c r="F601" s="1" t="s">
        <v>21</v>
      </c>
      <c r="G601" s="1" t="s">
        <v>128</v>
      </c>
      <c r="H601" s="1" t="s">
        <v>582</v>
      </c>
      <c r="I601" s="1" t="s">
        <v>289</v>
      </c>
      <c r="J601" s="1" t="s">
        <v>125</v>
      </c>
      <c r="K601" s="1" t="s">
        <v>130</v>
      </c>
      <c r="L601" s="1">
        <v>3069198</v>
      </c>
      <c r="M601" s="1" t="s">
        <v>819</v>
      </c>
      <c r="N601" s="5">
        <f t="shared" ref="N601:N621" si="228">DATE(2024,1,29)</f>
        <v>45320</v>
      </c>
      <c r="O601" s="5">
        <f t="shared" ref="O601:O607" si="229">DATE(2026,12,23)</f>
        <v>46379</v>
      </c>
      <c r="P601" s="5">
        <f t="shared" si="207"/>
        <v>47474</v>
      </c>
      <c r="Q601" s="1">
        <v>3420</v>
      </c>
      <c r="R601" s="1">
        <v>1200</v>
      </c>
      <c r="S601" s="1">
        <f t="shared" si="208"/>
        <v>3200</v>
      </c>
      <c r="T601" s="1">
        <v>2.5</v>
      </c>
      <c r="U601" s="1" t="str">
        <f t="shared" si="209"/>
        <v>SIM</v>
      </c>
      <c r="V601" s="1">
        <f t="shared" si="210"/>
        <v>1060</v>
      </c>
      <c r="W601" s="4">
        <f t="shared" si="211"/>
        <v>3.0188679245283021</v>
      </c>
      <c r="X601" s="4">
        <f t="shared" si="212"/>
        <v>1101.8867924528304</v>
      </c>
      <c r="Y601" s="4">
        <f t="shared" si="213"/>
        <v>1.3773584905660379</v>
      </c>
      <c r="AB601" s="5">
        <f t="shared" si="214"/>
        <v>45292</v>
      </c>
      <c r="AC601" s="5">
        <f t="shared" si="215"/>
        <v>45657</v>
      </c>
      <c r="AD601" s="1">
        <v>71</v>
      </c>
      <c r="AE601" s="1">
        <f t="shared" si="216"/>
        <v>0</v>
      </c>
      <c r="AF601" s="1">
        <f t="shared" si="217"/>
        <v>338</v>
      </c>
      <c r="AG601" s="1">
        <f t="shared" si="218"/>
        <v>0</v>
      </c>
      <c r="AH601" s="1">
        <f t="shared" si="219"/>
        <v>0</v>
      </c>
      <c r="AI601" s="1">
        <f t="shared" si="220"/>
        <v>0</v>
      </c>
      <c r="AJ601" s="3">
        <f t="shared" si="221"/>
        <v>0.92349726775956287</v>
      </c>
      <c r="AK601" s="3">
        <f t="shared" si="222"/>
        <v>1.2719868027631716</v>
      </c>
      <c r="AL601" s="3">
        <f t="shared" si="223"/>
        <v>90.311062996185186</v>
      </c>
      <c r="AM601" s="3">
        <f t="shared" si="224"/>
        <v>225.77765749046296</v>
      </c>
      <c r="AN601" s="3">
        <f t="shared" si="225"/>
        <v>0</v>
      </c>
      <c r="AO601" s="3">
        <f t="shared" si="226"/>
        <v>225.77765749046296</v>
      </c>
      <c r="AP601" s="1" t="str">
        <f>INDEX({"EAD";"EAD";"EAD";"EAD MOOC";"EAD";"EAD";"EAD FP";"EAD";"PRESENCIAL";"PRESENCIAL";"PRESENCIAL";"PRESENCIAL"}, MATCH(CONCATENATE(E601, ".", F601),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02" spans="1:42" x14ac:dyDescent="0.25">
      <c r="A602" s="1" t="s">
        <v>27</v>
      </c>
      <c r="B602" s="1" t="s">
        <v>43</v>
      </c>
      <c r="C602" s="1" t="s">
        <v>29</v>
      </c>
      <c r="D602" s="1" t="s">
        <v>44</v>
      </c>
      <c r="E602" s="1" t="s">
        <v>120</v>
      </c>
      <c r="F602" s="1" t="s">
        <v>21</v>
      </c>
      <c r="G602" s="1" t="s">
        <v>128</v>
      </c>
      <c r="H602" s="1" t="s">
        <v>559</v>
      </c>
      <c r="I602" s="1" t="s">
        <v>289</v>
      </c>
      <c r="J602" s="1" t="s">
        <v>125</v>
      </c>
      <c r="K602" s="1" t="s">
        <v>130</v>
      </c>
      <c r="L602" s="1">
        <v>3069206</v>
      </c>
      <c r="M602" s="1" t="s">
        <v>820</v>
      </c>
      <c r="N602" s="5">
        <f t="shared" si="228"/>
        <v>45320</v>
      </c>
      <c r="O602" s="5">
        <f t="shared" si="229"/>
        <v>46379</v>
      </c>
      <c r="P602" s="5">
        <f t="shared" si="207"/>
        <v>47474</v>
      </c>
      <c r="Q602" s="1">
        <v>3420</v>
      </c>
      <c r="R602" s="1">
        <v>1200</v>
      </c>
      <c r="S602" s="1">
        <f t="shared" si="208"/>
        <v>3200</v>
      </c>
      <c r="T602" s="1">
        <v>2.5</v>
      </c>
      <c r="U602" s="1" t="str">
        <f t="shared" si="209"/>
        <v>SIM</v>
      </c>
      <c r="V602" s="1">
        <f t="shared" si="210"/>
        <v>1060</v>
      </c>
      <c r="W602" s="4">
        <f t="shared" si="211"/>
        <v>3.0188679245283021</v>
      </c>
      <c r="X602" s="4">
        <f t="shared" si="212"/>
        <v>1101.8867924528304</v>
      </c>
      <c r="Y602" s="4">
        <f t="shared" si="213"/>
        <v>1.3773584905660379</v>
      </c>
      <c r="AB602" s="5">
        <f t="shared" si="214"/>
        <v>45292</v>
      </c>
      <c r="AC602" s="5">
        <f t="shared" si="215"/>
        <v>45657</v>
      </c>
      <c r="AD602" s="1">
        <v>72</v>
      </c>
      <c r="AE602" s="1">
        <f t="shared" si="216"/>
        <v>0</v>
      </c>
      <c r="AF602" s="1">
        <f t="shared" si="217"/>
        <v>338</v>
      </c>
      <c r="AG602" s="1">
        <f t="shared" si="218"/>
        <v>0</v>
      </c>
      <c r="AH602" s="1">
        <f t="shared" si="219"/>
        <v>0</v>
      </c>
      <c r="AI602" s="1">
        <f t="shared" si="220"/>
        <v>0</v>
      </c>
      <c r="AJ602" s="3">
        <f t="shared" si="221"/>
        <v>0.92349726775956287</v>
      </c>
      <c r="AK602" s="3">
        <f t="shared" si="222"/>
        <v>1.2719868027631716</v>
      </c>
      <c r="AL602" s="3">
        <f t="shared" si="223"/>
        <v>91.583049798948352</v>
      </c>
      <c r="AM602" s="3">
        <f t="shared" si="224"/>
        <v>228.95762449737089</v>
      </c>
      <c r="AN602" s="3">
        <f t="shared" si="225"/>
        <v>0</v>
      </c>
      <c r="AO602" s="3">
        <f t="shared" si="226"/>
        <v>228.95762449737089</v>
      </c>
      <c r="AP602" s="1" t="str">
        <f>INDEX({"EAD";"EAD";"EAD";"EAD MOOC";"EAD";"EAD";"EAD FP";"EAD";"PRESENCIAL";"PRESENCIAL";"PRESENCIAL";"PRESENCIAL"}, MATCH(CONCATENATE(E602, ".", F602),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03" spans="1:42" x14ac:dyDescent="0.25">
      <c r="A603" s="1" t="s">
        <v>27</v>
      </c>
      <c r="B603" s="1" t="s">
        <v>43</v>
      </c>
      <c r="C603" s="1" t="s">
        <v>29</v>
      </c>
      <c r="D603" s="1" t="s">
        <v>44</v>
      </c>
      <c r="E603" s="1" t="s">
        <v>120</v>
      </c>
      <c r="F603" s="1" t="s">
        <v>21</v>
      </c>
      <c r="G603" s="1" t="s">
        <v>128</v>
      </c>
      <c r="H603" s="1" t="s">
        <v>586</v>
      </c>
      <c r="I603" s="1" t="s">
        <v>503</v>
      </c>
      <c r="J603" s="1" t="s">
        <v>125</v>
      </c>
      <c r="K603" s="1" t="s">
        <v>130</v>
      </c>
      <c r="L603" s="1">
        <v>3069211</v>
      </c>
      <c r="M603" s="1" t="s">
        <v>821</v>
      </c>
      <c r="N603" s="5">
        <f t="shared" si="228"/>
        <v>45320</v>
      </c>
      <c r="O603" s="5">
        <f t="shared" si="229"/>
        <v>46379</v>
      </c>
      <c r="P603" s="5">
        <f t="shared" si="207"/>
        <v>47474</v>
      </c>
      <c r="Q603" s="1">
        <v>3300</v>
      </c>
      <c r="R603" s="1">
        <v>1200</v>
      </c>
      <c r="S603" s="1">
        <f t="shared" si="208"/>
        <v>3200</v>
      </c>
      <c r="T603" s="1">
        <v>2.5</v>
      </c>
      <c r="U603" s="1" t="str">
        <f t="shared" si="209"/>
        <v>SIM</v>
      </c>
      <c r="V603" s="1">
        <f t="shared" si="210"/>
        <v>1060</v>
      </c>
      <c r="W603" s="4">
        <f t="shared" si="211"/>
        <v>3.0188679245283021</v>
      </c>
      <c r="X603" s="4">
        <f t="shared" si="212"/>
        <v>1101.8867924528304</v>
      </c>
      <c r="Y603" s="4">
        <f t="shared" si="213"/>
        <v>1.3773584905660379</v>
      </c>
      <c r="AB603" s="5">
        <f t="shared" si="214"/>
        <v>45292</v>
      </c>
      <c r="AC603" s="5">
        <f t="shared" si="215"/>
        <v>45657</v>
      </c>
      <c r="AD603" s="1">
        <v>71</v>
      </c>
      <c r="AE603" s="1">
        <f t="shared" si="216"/>
        <v>0</v>
      </c>
      <c r="AF603" s="1">
        <f t="shared" si="217"/>
        <v>338</v>
      </c>
      <c r="AG603" s="1">
        <f t="shared" si="218"/>
        <v>0</v>
      </c>
      <c r="AH603" s="1">
        <f t="shared" si="219"/>
        <v>0</v>
      </c>
      <c r="AI603" s="1">
        <f t="shared" si="220"/>
        <v>0</v>
      </c>
      <c r="AJ603" s="3">
        <f t="shared" si="221"/>
        <v>0.92349726775956287</v>
      </c>
      <c r="AK603" s="3">
        <f t="shared" si="222"/>
        <v>1.2719868027631716</v>
      </c>
      <c r="AL603" s="3">
        <f t="shared" si="223"/>
        <v>90.311062996185186</v>
      </c>
      <c r="AM603" s="3">
        <f t="shared" si="224"/>
        <v>225.77765749046296</v>
      </c>
      <c r="AN603" s="3">
        <f t="shared" si="225"/>
        <v>0</v>
      </c>
      <c r="AO603" s="3">
        <f t="shared" si="226"/>
        <v>225.77765749046296</v>
      </c>
      <c r="AP603" s="1" t="str">
        <f>INDEX({"EAD";"EAD";"EAD";"EAD MOOC";"EAD";"EAD";"EAD FP";"EAD";"PRESENCIAL";"PRESENCIAL";"PRESENCIAL";"PRESENCIAL"}, MATCH(CONCATENATE(E603, ".", F603),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04" spans="1:42" x14ac:dyDescent="0.25">
      <c r="A604" s="1" t="s">
        <v>27</v>
      </c>
      <c r="B604" s="1" t="s">
        <v>43</v>
      </c>
      <c r="C604" s="1" t="s">
        <v>29</v>
      </c>
      <c r="D604" s="1" t="s">
        <v>44</v>
      </c>
      <c r="E604" s="1" t="s">
        <v>120</v>
      </c>
      <c r="F604" s="1" t="s">
        <v>21</v>
      </c>
      <c r="G604" s="1" t="s">
        <v>128</v>
      </c>
      <c r="H604" s="1" t="s">
        <v>526</v>
      </c>
      <c r="I604" s="1" t="s">
        <v>503</v>
      </c>
      <c r="J604" s="1" t="s">
        <v>125</v>
      </c>
      <c r="K604" s="1" t="s">
        <v>130</v>
      </c>
      <c r="L604" s="1">
        <v>3069214</v>
      </c>
      <c r="M604" s="1" t="s">
        <v>822</v>
      </c>
      <c r="N604" s="5">
        <f t="shared" si="228"/>
        <v>45320</v>
      </c>
      <c r="O604" s="5">
        <f t="shared" si="229"/>
        <v>46379</v>
      </c>
      <c r="P604" s="5">
        <f t="shared" si="207"/>
        <v>47474</v>
      </c>
      <c r="Q604" s="1">
        <v>3270</v>
      </c>
      <c r="R604" s="1">
        <v>1200</v>
      </c>
      <c r="S604" s="1">
        <f t="shared" si="208"/>
        <v>3200</v>
      </c>
      <c r="T604" s="1">
        <v>2.5</v>
      </c>
      <c r="U604" s="1" t="str">
        <f t="shared" si="209"/>
        <v>SIM</v>
      </c>
      <c r="V604" s="1">
        <f t="shared" si="210"/>
        <v>1060</v>
      </c>
      <c r="W604" s="4">
        <f t="shared" si="211"/>
        <v>3.0188679245283021</v>
      </c>
      <c r="X604" s="4">
        <f t="shared" si="212"/>
        <v>1101.8867924528304</v>
      </c>
      <c r="Y604" s="4">
        <f t="shared" si="213"/>
        <v>1.3773584905660379</v>
      </c>
      <c r="AB604" s="5">
        <f t="shared" si="214"/>
        <v>45292</v>
      </c>
      <c r="AC604" s="5">
        <f t="shared" si="215"/>
        <v>45657</v>
      </c>
      <c r="AD604" s="1">
        <v>70</v>
      </c>
      <c r="AE604" s="1">
        <f t="shared" si="216"/>
        <v>0</v>
      </c>
      <c r="AF604" s="1">
        <f t="shared" si="217"/>
        <v>338</v>
      </c>
      <c r="AG604" s="1">
        <f t="shared" si="218"/>
        <v>0</v>
      </c>
      <c r="AH604" s="1">
        <f t="shared" si="219"/>
        <v>0</v>
      </c>
      <c r="AI604" s="1">
        <f t="shared" si="220"/>
        <v>0</v>
      </c>
      <c r="AJ604" s="3">
        <f t="shared" si="221"/>
        <v>0.92349726775956287</v>
      </c>
      <c r="AK604" s="3">
        <f t="shared" si="222"/>
        <v>1.2719868027631716</v>
      </c>
      <c r="AL604" s="3">
        <f t="shared" si="223"/>
        <v>89.039076193422005</v>
      </c>
      <c r="AM604" s="3">
        <f t="shared" si="224"/>
        <v>222.59769048355503</v>
      </c>
      <c r="AN604" s="3">
        <f t="shared" si="225"/>
        <v>0</v>
      </c>
      <c r="AO604" s="3">
        <f t="shared" si="226"/>
        <v>222.59769048355503</v>
      </c>
      <c r="AP604" s="1" t="str">
        <f>INDEX({"EAD";"EAD";"EAD";"EAD MOOC";"EAD";"EAD";"EAD FP";"EAD";"PRESENCIAL";"PRESENCIAL";"PRESENCIAL";"PRESENCIAL"}, MATCH(CONCATENATE(E604, ".", F604),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05" spans="1:42" x14ac:dyDescent="0.25">
      <c r="A605" s="1" t="s">
        <v>27</v>
      </c>
      <c r="B605" s="1" t="s">
        <v>43</v>
      </c>
      <c r="C605" s="1" t="s">
        <v>29</v>
      </c>
      <c r="D605" s="1" t="s">
        <v>44</v>
      </c>
      <c r="E605" s="1" t="s">
        <v>120</v>
      </c>
      <c r="F605" s="1" t="s">
        <v>21</v>
      </c>
      <c r="G605" s="1" t="s">
        <v>128</v>
      </c>
      <c r="H605" s="1" t="s">
        <v>612</v>
      </c>
      <c r="I605" s="1" t="s">
        <v>187</v>
      </c>
      <c r="J605" s="1" t="s">
        <v>125</v>
      </c>
      <c r="K605" s="1" t="s">
        <v>130</v>
      </c>
      <c r="L605" s="1">
        <v>3069263</v>
      </c>
      <c r="M605" s="1" t="s">
        <v>823</v>
      </c>
      <c r="N605" s="5">
        <f t="shared" si="228"/>
        <v>45320</v>
      </c>
      <c r="O605" s="5">
        <f t="shared" si="229"/>
        <v>46379</v>
      </c>
      <c r="P605" s="5">
        <f t="shared" si="207"/>
        <v>47474</v>
      </c>
      <c r="Q605" s="1">
        <v>3060</v>
      </c>
      <c r="R605" s="1">
        <v>800</v>
      </c>
      <c r="S605" s="1">
        <f t="shared" si="208"/>
        <v>3000</v>
      </c>
      <c r="T605" s="1">
        <v>1.5</v>
      </c>
      <c r="U605" s="1" t="str">
        <f t="shared" si="209"/>
        <v>SIM</v>
      </c>
      <c r="V605" s="1">
        <f t="shared" si="210"/>
        <v>1060</v>
      </c>
      <c r="W605" s="4">
        <f t="shared" si="211"/>
        <v>2.8301886792452828</v>
      </c>
      <c r="X605" s="4">
        <f t="shared" si="212"/>
        <v>1033.0188679245282</v>
      </c>
      <c r="Y605" s="4">
        <f t="shared" si="213"/>
        <v>1.2912735849056602</v>
      </c>
      <c r="AB605" s="5">
        <f t="shared" si="214"/>
        <v>45292</v>
      </c>
      <c r="AC605" s="5">
        <f t="shared" si="215"/>
        <v>45657</v>
      </c>
      <c r="AD605" s="1">
        <v>56</v>
      </c>
      <c r="AE605" s="1">
        <f t="shared" si="216"/>
        <v>0</v>
      </c>
      <c r="AF605" s="1">
        <f t="shared" si="217"/>
        <v>338</v>
      </c>
      <c r="AG605" s="1">
        <f t="shared" si="218"/>
        <v>0</v>
      </c>
      <c r="AH605" s="1">
        <f t="shared" si="219"/>
        <v>0</v>
      </c>
      <c r="AI605" s="1">
        <f t="shared" si="220"/>
        <v>0</v>
      </c>
      <c r="AJ605" s="3">
        <f t="shared" si="221"/>
        <v>0.92349726775956287</v>
      </c>
      <c r="AK605" s="3">
        <f t="shared" si="222"/>
        <v>1.1924876275904732</v>
      </c>
      <c r="AL605" s="3">
        <f t="shared" si="223"/>
        <v>66.779307145066497</v>
      </c>
      <c r="AM605" s="3">
        <f t="shared" si="224"/>
        <v>100.16896071759975</v>
      </c>
      <c r="AN605" s="3">
        <f t="shared" si="225"/>
        <v>0</v>
      </c>
      <c r="AO605" s="3">
        <f t="shared" si="226"/>
        <v>100.16896071759975</v>
      </c>
      <c r="AP605" s="1" t="str">
        <f>INDEX({"EAD";"EAD";"EAD";"EAD MOOC";"EAD";"EAD";"EAD FP";"EAD";"PRESENCIAL";"PRESENCIAL";"PRESENCIAL";"PRESENCIAL"}, MATCH(CONCATENATE(E605, ".", F605),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06" spans="1:42" x14ac:dyDescent="0.25">
      <c r="A606" s="1" t="s">
        <v>27</v>
      </c>
      <c r="B606" s="1" t="s">
        <v>43</v>
      </c>
      <c r="C606" s="1" t="s">
        <v>29</v>
      </c>
      <c r="D606" s="1" t="s">
        <v>44</v>
      </c>
      <c r="E606" s="1" t="s">
        <v>120</v>
      </c>
      <c r="F606" s="1" t="s">
        <v>21</v>
      </c>
      <c r="G606" s="1" t="s">
        <v>128</v>
      </c>
      <c r="H606" s="1" t="s">
        <v>208</v>
      </c>
      <c r="I606" s="1" t="s">
        <v>209</v>
      </c>
      <c r="J606" s="1" t="s">
        <v>125</v>
      </c>
      <c r="K606" s="1" t="s">
        <v>130</v>
      </c>
      <c r="L606" s="1">
        <v>3069270</v>
      </c>
      <c r="M606" s="1" t="s">
        <v>824</v>
      </c>
      <c r="N606" s="5">
        <f t="shared" si="228"/>
        <v>45320</v>
      </c>
      <c r="O606" s="5">
        <f t="shared" si="229"/>
        <v>46379</v>
      </c>
      <c r="P606" s="5">
        <f t="shared" si="207"/>
        <v>47474</v>
      </c>
      <c r="Q606" s="1">
        <v>3360</v>
      </c>
      <c r="R606" s="1">
        <v>1200</v>
      </c>
      <c r="S606" s="1">
        <f t="shared" si="208"/>
        <v>3200</v>
      </c>
      <c r="T606" s="1">
        <v>1.5</v>
      </c>
      <c r="U606" s="1" t="str">
        <f t="shared" si="209"/>
        <v>SIM</v>
      </c>
      <c r="V606" s="1">
        <f t="shared" si="210"/>
        <v>1060</v>
      </c>
      <c r="W606" s="4">
        <f t="shared" si="211"/>
        <v>3.0188679245283021</v>
      </c>
      <c r="X606" s="4">
        <f t="shared" si="212"/>
        <v>1101.8867924528304</v>
      </c>
      <c r="Y606" s="4">
        <f t="shared" si="213"/>
        <v>1.3773584905660379</v>
      </c>
      <c r="AB606" s="5">
        <f t="shared" si="214"/>
        <v>45292</v>
      </c>
      <c r="AC606" s="5">
        <f t="shared" si="215"/>
        <v>45657</v>
      </c>
      <c r="AD606" s="1">
        <v>108</v>
      </c>
      <c r="AE606" s="1">
        <f t="shared" si="216"/>
        <v>0</v>
      </c>
      <c r="AF606" s="1">
        <f t="shared" si="217"/>
        <v>338</v>
      </c>
      <c r="AG606" s="1">
        <f t="shared" si="218"/>
        <v>0</v>
      </c>
      <c r="AH606" s="1">
        <f t="shared" si="219"/>
        <v>0</v>
      </c>
      <c r="AI606" s="1">
        <f t="shared" si="220"/>
        <v>0</v>
      </c>
      <c r="AJ606" s="3">
        <f t="shared" si="221"/>
        <v>0.92349726775956287</v>
      </c>
      <c r="AK606" s="3">
        <f t="shared" si="222"/>
        <v>1.2719868027631716</v>
      </c>
      <c r="AL606" s="3">
        <f t="shared" si="223"/>
        <v>137.37457469842252</v>
      </c>
      <c r="AM606" s="3">
        <f t="shared" si="224"/>
        <v>206.06186204763378</v>
      </c>
      <c r="AN606" s="3">
        <f t="shared" si="225"/>
        <v>0</v>
      </c>
      <c r="AO606" s="3">
        <f t="shared" si="226"/>
        <v>206.06186204763378</v>
      </c>
      <c r="AP606" s="1" t="str">
        <f>INDEX({"EAD";"EAD";"EAD";"EAD MOOC";"EAD";"EAD";"EAD FP";"EAD";"PRESENCIAL";"PRESENCIAL";"PRESENCIAL";"PRESENCIAL"}, MATCH(CONCATENATE(E606, ".", F606),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07" spans="1:42" x14ac:dyDescent="0.25">
      <c r="A607" s="1" t="s">
        <v>27</v>
      </c>
      <c r="B607" s="1" t="s">
        <v>43</v>
      </c>
      <c r="C607" s="1" t="s">
        <v>29</v>
      </c>
      <c r="D607" s="1" t="s">
        <v>44</v>
      </c>
      <c r="E607" s="1" t="s">
        <v>120</v>
      </c>
      <c r="F607" s="1" t="s">
        <v>21</v>
      </c>
      <c r="G607" s="1" t="s">
        <v>128</v>
      </c>
      <c r="H607" s="1" t="s">
        <v>218</v>
      </c>
      <c r="I607" s="1" t="s">
        <v>124</v>
      </c>
      <c r="J607" s="1" t="s">
        <v>125</v>
      </c>
      <c r="K607" s="1" t="s">
        <v>130</v>
      </c>
      <c r="L607" s="1">
        <v>3069275</v>
      </c>
      <c r="M607" s="1" t="s">
        <v>825</v>
      </c>
      <c r="N607" s="5">
        <f t="shared" si="228"/>
        <v>45320</v>
      </c>
      <c r="O607" s="5">
        <f t="shared" si="229"/>
        <v>46379</v>
      </c>
      <c r="P607" s="5">
        <f t="shared" si="207"/>
        <v>47474</v>
      </c>
      <c r="Q607" s="1">
        <v>3240</v>
      </c>
      <c r="R607" s="1">
        <v>800</v>
      </c>
      <c r="S607" s="1">
        <f t="shared" si="208"/>
        <v>3000</v>
      </c>
      <c r="T607" s="1">
        <v>1.5</v>
      </c>
      <c r="U607" s="1" t="str">
        <f t="shared" si="209"/>
        <v>SIM</v>
      </c>
      <c r="V607" s="1">
        <f t="shared" si="210"/>
        <v>1060</v>
      </c>
      <c r="W607" s="4">
        <f t="shared" si="211"/>
        <v>2.8301886792452828</v>
      </c>
      <c r="X607" s="4">
        <f t="shared" si="212"/>
        <v>1033.0188679245282</v>
      </c>
      <c r="Y607" s="4">
        <f t="shared" si="213"/>
        <v>1.2912735849056602</v>
      </c>
      <c r="AB607" s="5">
        <f t="shared" si="214"/>
        <v>45292</v>
      </c>
      <c r="AC607" s="5">
        <f t="shared" si="215"/>
        <v>45657</v>
      </c>
      <c r="AD607" s="1">
        <v>63</v>
      </c>
      <c r="AE607" s="1">
        <f t="shared" si="216"/>
        <v>0</v>
      </c>
      <c r="AF607" s="1">
        <f t="shared" si="217"/>
        <v>338</v>
      </c>
      <c r="AG607" s="1">
        <f t="shared" si="218"/>
        <v>0</v>
      </c>
      <c r="AH607" s="1">
        <f t="shared" si="219"/>
        <v>0</v>
      </c>
      <c r="AI607" s="1">
        <f t="shared" si="220"/>
        <v>0</v>
      </c>
      <c r="AJ607" s="3">
        <f t="shared" si="221"/>
        <v>0.92349726775956287</v>
      </c>
      <c r="AK607" s="3">
        <f t="shared" si="222"/>
        <v>1.1924876275904732</v>
      </c>
      <c r="AL607" s="3">
        <f t="shared" si="223"/>
        <v>75.12672053819982</v>
      </c>
      <c r="AM607" s="3">
        <f t="shared" si="224"/>
        <v>112.69008080729972</v>
      </c>
      <c r="AN607" s="3">
        <f t="shared" si="225"/>
        <v>0</v>
      </c>
      <c r="AO607" s="3">
        <f t="shared" si="226"/>
        <v>112.69008080729972</v>
      </c>
      <c r="AP607" s="1" t="str">
        <f>INDEX({"EAD";"EAD";"EAD";"EAD MOOC";"EAD";"EAD";"EAD FP";"EAD";"PRESENCIAL";"PRESENCIAL";"PRESENCIAL";"PRESENCIAL"}, MATCH(CONCATENATE(E607, ".", F607),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08" spans="1:42" x14ac:dyDescent="0.25">
      <c r="A608" s="1" t="s">
        <v>27</v>
      </c>
      <c r="B608" s="1" t="s">
        <v>43</v>
      </c>
      <c r="C608" s="1" t="s">
        <v>29</v>
      </c>
      <c r="D608" s="1" t="s">
        <v>44</v>
      </c>
      <c r="E608" s="1" t="s">
        <v>120</v>
      </c>
      <c r="F608" s="1" t="s">
        <v>21</v>
      </c>
      <c r="G608" s="1" t="s">
        <v>128</v>
      </c>
      <c r="H608" s="1" t="s">
        <v>582</v>
      </c>
      <c r="I608" s="1" t="s">
        <v>289</v>
      </c>
      <c r="J608" s="1" t="s">
        <v>125</v>
      </c>
      <c r="K608" s="1" t="s">
        <v>163</v>
      </c>
      <c r="L608" s="1">
        <v>3069282</v>
      </c>
      <c r="M608" s="1" t="s">
        <v>826</v>
      </c>
      <c r="N608" s="5">
        <f t="shared" si="228"/>
        <v>45320</v>
      </c>
      <c r="O608" s="5">
        <f>DATE(2025,12,23)</f>
        <v>46014</v>
      </c>
      <c r="P608" s="5">
        <f t="shared" si="207"/>
        <v>47109</v>
      </c>
      <c r="Q608" s="1">
        <v>1258</v>
      </c>
      <c r="R608" s="1">
        <v>1200</v>
      </c>
      <c r="S608" s="1">
        <f t="shared" si="208"/>
        <v>1200</v>
      </c>
      <c r="T608" s="1">
        <v>2.5</v>
      </c>
      <c r="U608" s="1" t="str">
        <f t="shared" si="209"/>
        <v>SIM</v>
      </c>
      <c r="V608" s="1">
        <f t="shared" si="210"/>
        <v>695</v>
      </c>
      <c r="W608" s="4">
        <f t="shared" si="211"/>
        <v>1.7266187050359711</v>
      </c>
      <c r="X608" s="4">
        <f t="shared" si="212"/>
        <v>630.21582733812943</v>
      </c>
      <c r="Y608" s="4">
        <f t="shared" si="213"/>
        <v>0.78776978417266175</v>
      </c>
      <c r="AB608" s="5">
        <f t="shared" si="214"/>
        <v>45292</v>
      </c>
      <c r="AC608" s="5">
        <f t="shared" si="215"/>
        <v>45657</v>
      </c>
      <c r="AD608" s="1">
        <v>20</v>
      </c>
      <c r="AE608" s="1">
        <f t="shared" si="216"/>
        <v>0</v>
      </c>
      <c r="AF608" s="1">
        <f t="shared" si="217"/>
        <v>338</v>
      </c>
      <c r="AG608" s="1">
        <f t="shared" si="218"/>
        <v>0</v>
      </c>
      <c r="AH608" s="1">
        <f t="shared" si="219"/>
        <v>0</v>
      </c>
      <c r="AI608" s="1">
        <f t="shared" si="220"/>
        <v>0</v>
      </c>
      <c r="AJ608" s="3">
        <f t="shared" si="221"/>
        <v>0.92349726775956287</v>
      </c>
      <c r="AK608" s="3">
        <f t="shared" si="222"/>
        <v>0.72750324330699367</v>
      </c>
      <c r="AL608" s="3">
        <f t="shared" si="223"/>
        <v>14.550064866139873</v>
      </c>
      <c r="AM608" s="3">
        <f t="shared" si="224"/>
        <v>36.375162165349685</v>
      </c>
      <c r="AN608" s="3">
        <f t="shared" si="225"/>
        <v>0</v>
      </c>
      <c r="AO608" s="3">
        <f t="shared" si="226"/>
        <v>36.375162165349685</v>
      </c>
      <c r="AP608" s="1" t="str">
        <f>INDEX({"EAD";"EAD";"EAD";"EAD MOOC";"EAD";"EAD";"EAD FP";"EAD";"PRESENCIAL";"PRESENCIAL";"PRESENCIAL";"PRESENCIAL"}, MATCH(CONCATENATE(E608, ".", F608),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09" spans="1:42" x14ac:dyDescent="0.25">
      <c r="A609" s="1" t="s">
        <v>27</v>
      </c>
      <c r="B609" s="1" t="s">
        <v>43</v>
      </c>
      <c r="C609" s="1" t="s">
        <v>29</v>
      </c>
      <c r="D609" s="1" t="s">
        <v>44</v>
      </c>
      <c r="E609" s="1" t="s">
        <v>120</v>
      </c>
      <c r="F609" s="1" t="s">
        <v>21</v>
      </c>
      <c r="G609" s="1" t="s">
        <v>128</v>
      </c>
      <c r="H609" s="1" t="s">
        <v>559</v>
      </c>
      <c r="I609" s="1" t="s">
        <v>289</v>
      </c>
      <c r="J609" s="1" t="s">
        <v>125</v>
      </c>
      <c r="K609" s="1" t="s">
        <v>163</v>
      </c>
      <c r="L609" s="1">
        <v>3069284</v>
      </c>
      <c r="M609" s="1" t="s">
        <v>827</v>
      </c>
      <c r="N609" s="5">
        <f t="shared" si="228"/>
        <v>45320</v>
      </c>
      <c r="O609" s="5">
        <f>DATE(2025,12,23)</f>
        <v>46014</v>
      </c>
      <c r="P609" s="5">
        <f t="shared" si="207"/>
        <v>47109</v>
      </c>
      <c r="Q609" s="1">
        <v>1360</v>
      </c>
      <c r="R609" s="1">
        <v>1200</v>
      </c>
      <c r="S609" s="1">
        <f t="shared" si="208"/>
        <v>1200</v>
      </c>
      <c r="T609" s="1">
        <v>2.5</v>
      </c>
      <c r="U609" s="1" t="str">
        <f t="shared" si="209"/>
        <v>SIM</v>
      </c>
      <c r="V609" s="1">
        <f t="shared" si="210"/>
        <v>695</v>
      </c>
      <c r="W609" s="4">
        <f t="shared" si="211"/>
        <v>1.7266187050359711</v>
      </c>
      <c r="X609" s="4">
        <f t="shared" si="212"/>
        <v>630.21582733812943</v>
      </c>
      <c r="Y609" s="4">
        <f t="shared" si="213"/>
        <v>0.78776978417266175</v>
      </c>
      <c r="AB609" s="5">
        <f t="shared" si="214"/>
        <v>45292</v>
      </c>
      <c r="AC609" s="5">
        <f t="shared" si="215"/>
        <v>45657</v>
      </c>
      <c r="AD609" s="1">
        <v>24</v>
      </c>
      <c r="AE609" s="1">
        <f t="shared" si="216"/>
        <v>0</v>
      </c>
      <c r="AF609" s="1">
        <f t="shared" si="217"/>
        <v>338</v>
      </c>
      <c r="AG609" s="1">
        <f t="shared" si="218"/>
        <v>0</v>
      </c>
      <c r="AH609" s="1">
        <f t="shared" si="219"/>
        <v>0</v>
      </c>
      <c r="AI609" s="1">
        <f t="shared" si="220"/>
        <v>0</v>
      </c>
      <c r="AJ609" s="3">
        <f t="shared" si="221"/>
        <v>0.92349726775956287</v>
      </c>
      <c r="AK609" s="3">
        <f t="shared" si="222"/>
        <v>0.72750324330699367</v>
      </c>
      <c r="AL609" s="3">
        <f t="shared" si="223"/>
        <v>17.460077839367848</v>
      </c>
      <c r="AM609" s="3">
        <f t="shared" si="224"/>
        <v>43.650194598419617</v>
      </c>
      <c r="AN609" s="3">
        <f t="shared" si="225"/>
        <v>0</v>
      </c>
      <c r="AO609" s="3">
        <f t="shared" si="226"/>
        <v>43.650194598419617</v>
      </c>
      <c r="AP609" s="1" t="str">
        <f>INDEX({"EAD";"EAD";"EAD";"EAD MOOC";"EAD";"EAD";"EAD FP";"EAD";"PRESENCIAL";"PRESENCIAL";"PRESENCIAL";"PRESENCIAL"}, MATCH(CONCATENATE(E609, ".", F609),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10" spans="1:42" x14ac:dyDescent="0.25">
      <c r="A610" s="1" t="s">
        <v>27</v>
      </c>
      <c r="B610" s="1" t="s">
        <v>43</v>
      </c>
      <c r="C610" s="1" t="s">
        <v>29</v>
      </c>
      <c r="D610" s="1" t="s">
        <v>44</v>
      </c>
      <c r="E610" s="1" t="s">
        <v>120</v>
      </c>
      <c r="F610" s="1" t="s">
        <v>21</v>
      </c>
      <c r="G610" s="1" t="s">
        <v>128</v>
      </c>
      <c r="H610" s="1" t="s">
        <v>586</v>
      </c>
      <c r="I610" s="1" t="s">
        <v>503</v>
      </c>
      <c r="J610" s="1" t="s">
        <v>125</v>
      </c>
      <c r="K610" s="1" t="s">
        <v>163</v>
      </c>
      <c r="L610" s="1">
        <v>3069299</v>
      </c>
      <c r="M610" s="1" t="s">
        <v>828</v>
      </c>
      <c r="N610" s="5">
        <f t="shared" si="228"/>
        <v>45320</v>
      </c>
      <c r="O610" s="5">
        <f>DATE(2025,12,23)</f>
        <v>46014</v>
      </c>
      <c r="P610" s="5">
        <f t="shared" si="207"/>
        <v>47109</v>
      </c>
      <c r="Q610" s="1">
        <v>1703</v>
      </c>
      <c r="R610" s="1">
        <v>1200</v>
      </c>
      <c r="S610" s="1">
        <f t="shared" si="208"/>
        <v>1200</v>
      </c>
      <c r="T610" s="1">
        <v>2.5</v>
      </c>
      <c r="U610" s="1" t="str">
        <f t="shared" si="209"/>
        <v>SIM</v>
      </c>
      <c r="V610" s="1">
        <f t="shared" si="210"/>
        <v>695</v>
      </c>
      <c r="W610" s="4">
        <f t="shared" si="211"/>
        <v>1.7266187050359711</v>
      </c>
      <c r="X610" s="4">
        <f t="shared" si="212"/>
        <v>630.21582733812943</v>
      </c>
      <c r="Y610" s="4">
        <f t="shared" si="213"/>
        <v>0.78776978417266175</v>
      </c>
      <c r="AB610" s="5">
        <f t="shared" si="214"/>
        <v>45292</v>
      </c>
      <c r="AC610" s="5">
        <f t="shared" si="215"/>
        <v>45657</v>
      </c>
      <c r="AD610" s="1">
        <v>28</v>
      </c>
      <c r="AE610" s="1">
        <f t="shared" si="216"/>
        <v>0</v>
      </c>
      <c r="AF610" s="1">
        <f t="shared" si="217"/>
        <v>338</v>
      </c>
      <c r="AG610" s="1">
        <f t="shared" si="218"/>
        <v>0</v>
      </c>
      <c r="AH610" s="1">
        <f t="shared" si="219"/>
        <v>0</v>
      </c>
      <c r="AI610" s="1">
        <f t="shared" si="220"/>
        <v>0</v>
      </c>
      <c r="AJ610" s="3">
        <f t="shared" si="221"/>
        <v>0.92349726775956287</v>
      </c>
      <c r="AK610" s="3">
        <f t="shared" si="222"/>
        <v>0.72750324330699367</v>
      </c>
      <c r="AL610" s="3">
        <f t="shared" si="223"/>
        <v>20.370090812595823</v>
      </c>
      <c r="AM610" s="3">
        <f t="shared" si="224"/>
        <v>50.925227031489555</v>
      </c>
      <c r="AN610" s="3">
        <f t="shared" si="225"/>
        <v>0</v>
      </c>
      <c r="AO610" s="3">
        <f t="shared" si="226"/>
        <v>50.925227031489555</v>
      </c>
      <c r="AP610" s="1" t="str">
        <f>INDEX({"EAD";"EAD";"EAD";"EAD MOOC";"EAD";"EAD";"EAD FP";"EAD";"PRESENCIAL";"PRESENCIAL";"PRESENCIAL";"PRESENCIAL"}, MATCH(CONCATENATE(E610, ".", F610),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11" spans="1:42" x14ac:dyDescent="0.25">
      <c r="A611" s="1" t="s">
        <v>27</v>
      </c>
      <c r="B611" s="1" t="s">
        <v>43</v>
      </c>
      <c r="C611" s="1" t="s">
        <v>29</v>
      </c>
      <c r="D611" s="1" t="s">
        <v>44</v>
      </c>
      <c r="E611" s="1" t="s">
        <v>120</v>
      </c>
      <c r="F611" s="1" t="s">
        <v>21</v>
      </c>
      <c r="G611" s="1" t="s">
        <v>140</v>
      </c>
      <c r="H611" s="1" t="s">
        <v>529</v>
      </c>
      <c r="I611" s="1" t="s">
        <v>289</v>
      </c>
      <c r="J611" s="1" t="s">
        <v>125</v>
      </c>
      <c r="K611" s="1" t="s">
        <v>109</v>
      </c>
      <c r="L611" s="1">
        <v>3069300</v>
      </c>
      <c r="M611" s="1" t="s">
        <v>829</v>
      </c>
      <c r="N611" s="5">
        <f t="shared" si="228"/>
        <v>45320</v>
      </c>
      <c r="O611" s="5">
        <f>DATE(2027,6,25)</f>
        <v>46563</v>
      </c>
      <c r="P611" s="5">
        <f t="shared" si="207"/>
        <v>47658</v>
      </c>
      <c r="Q611" s="1">
        <v>2400</v>
      </c>
      <c r="R611" s="1">
        <v>2400</v>
      </c>
      <c r="S611" s="1">
        <f t="shared" si="208"/>
        <v>2400</v>
      </c>
      <c r="T611" s="1">
        <v>2.5</v>
      </c>
      <c r="U611" s="1" t="str">
        <f t="shared" si="209"/>
        <v>SIM</v>
      </c>
      <c r="V611" s="1">
        <f t="shared" si="210"/>
        <v>1244</v>
      </c>
      <c r="W611" s="4">
        <f t="shared" si="211"/>
        <v>1.9292604501607717</v>
      </c>
      <c r="X611" s="4">
        <f t="shared" si="212"/>
        <v>704.18006430868172</v>
      </c>
      <c r="Y611" s="4">
        <f t="shared" si="213"/>
        <v>0.88022508038585212</v>
      </c>
      <c r="AB611" s="5">
        <f t="shared" si="214"/>
        <v>45292</v>
      </c>
      <c r="AC611" s="5">
        <f t="shared" si="215"/>
        <v>45657</v>
      </c>
      <c r="AD611" s="1">
        <v>16</v>
      </c>
      <c r="AE611" s="1">
        <f t="shared" si="216"/>
        <v>0</v>
      </c>
      <c r="AF611" s="1">
        <f t="shared" si="217"/>
        <v>338</v>
      </c>
      <c r="AG611" s="1">
        <f t="shared" si="218"/>
        <v>0</v>
      </c>
      <c r="AH611" s="1">
        <f t="shared" si="219"/>
        <v>0</v>
      </c>
      <c r="AI611" s="1">
        <f t="shared" si="220"/>
        <v>0</v>
      </c>
      <c r="AJ611" s="3">
        <f t="shared" si="221"/>
        <v>0.92349726775956287</v>
      </c>
      <c r="AK611" s="3">
        <f t="shared" si="222"/>
        <v>0.81288545674977608</v>
      </c>
      <c r="AL611" s="3">
        <f t="shared" si="223"/>
        <v>13.006167307996417</v>
      </c>
      <c r="AM611" s="3">
        <f t="shared" si="224"/>
        <v>32.515418269991045</v>
      </c>
      <c r="AN611" s="3">
        <f t="shared" si="225"/>
        <v>0</v>
      </c>
      <c r="AO611" s="3">
        <f t="shared" si="226"/>
        <v>32.515418269991045</v>
      </c>
      <c r="AP611" s="1" t="str">
        <f>INDEX({"EAD";"EAD";"EAD";"EAD MOOC";"EAD";"EAD";"EAD FP";"EAD";"PRESENCIAL";"PRESENCIAL";"PRESENCIAL";"PRESENCIAL"}, MATCH(CONCATENATE(E611, ".", F611),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12" spans="1:42" x14ac:dyDescent="0.25">
      <c r="A612" s="1" t="s">
        <v>27</v>
      </c>
      <c r="B612" s="1" t="s">
        <v>43</v>
      </c>
      <c r="C612" s="1" t="s">
        <v>29</v>
      </c>
      <c r="D612" s="1" t="s">
        <v>44</v>
      </c>
      <c r="E612" s="1" t="s">
        <v>120</v>
      </c>
      <c r="F612" s="1" t="s">
        <v>21</v>
      </c>
      <c r="G612" s="1" t="s">
        <v>140</v>
      </c>
      <c r="H612" s="1" t="s">
        <v>534</v>
      </c>
      <c r="I612" s="1" t="s">
        <v>289</v>
      </c>
      <c r="J612" s="1" t="s">
        <v>125</v>
      </c>
      <c r="K612" s="1" t="s">
        <v>109</v>
      </c>
      <c r="L612" s="1">
        <v>3069303</v>
      </c>
      <c r="M612" s="1" t="s">
        <v>830</v>
      </c>
      <c r="N612" s="5">
        <f t="shared" si="228"/>
        <v>45320</v>
      </c>
      <c r="O612" s="5">
        <f>DATE(2026,12,23)</f>
        <v>46379</v>
      </c>
      <c r="P612" s="5">
        <f t="shared" si="207"/>
        <v>47474</v>
      </c>
      <c r="Q612" s="1">
        <v>2400</v>
      </c>
      <c r="R612" s="1">
        <v>2400</v>
      </c>
      <c r="S612" s="1">
        <f t="shared" si="208"/>
        <v>2400</v>
      </c>
      <c r="T612" s="1">
        <v>2.5</v>
      </c>
      <c r="U612" s="1" t="str">
        <f t="shared" si="209"/>
        <v>SIM</v>
      </c>
      <c r="V612" s="1">
        <f t="shared" si="210"/>
        <v>1060</v>
      </c>
      <c r="W612" s="4">
        <f t="shared" si="211"/>
        <v>2.2641509433962264</v>
      </c>
      <c r="X612" s="4">
        <f t="shared" si="212"/>
        <v>826.41509433962267</v>
      </c>
      <c r="Y612" s="4">
        <f t="shared" si="213"/>
        <v>1.0330188679245282</v>
      </c>
      <c r="AB612" s="5">
        <f t="shared" si="214"/>
        <v>45292</v>
      </c>
      <c r="AC612" s="5">
        <f t="shared" si="215"/>
        <v>45657</v>
      </c>
      <c r="AD612" s="1">
        <v>24</v>
      </c>
      <c r="AE612" s="1">
        <f t="shared" si="216"/>
        <v>0</v>
      </c>
      <c r="AF612" s="1">
        <f t="shared" si="217"/>
        <v>338</v>
      </c>
      <c r="AG612" s="1">
        <f t="shared" si="218"/>
        <v>0</v>
      </c>
      <c r="AH612" s="1">
        <f t="shared" si="219"/>
        <v>0</v>
      </c>
      <c r="AI612" s="1">
        <f t="shared" si="220"/>
        <v>0</v>
      </c>
      <c r="AJ612" s="3">
        <f t="shared" si="221"/>
        <v>0.92349726775956287</v>
      </c>
      <c r="AK612" s="3">
        <f t="shared" si="222"/>
        <v>0.95399010207237855</v>
      </c>
      <c r="AL612" s="3">
        <f t="shared" si="223"/>
        <v>22.895762449737084</v>
      </c>
      <c r="AM612" s="3">
        <f t="shared" si="224"/>
        <v>57.239406124342707</v>
      </c>
      <c r="AN612" s="3">
        <f t="shared" si="225"/>
        <v>0</v>
      </c>
      <c r="AO612" s="3">
        <f t="shared" si="226"/>
        <v>57.239406124342707</v>
      </c>
      <c r="AP612" s="1" t="str">
        <f>INDEX({"EAD";"EAD";"EAD";"EAD MOOC";"EAD";"EAD";"EAD FP";"EAD";"PRESENCIAL";"PRESENCIAL";"PRESENCIAL";"PRESENCIAL"}, MATCH(CONCATENATE(E612, ".", F612),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13" spans="1:42" x14ac:dyDescent="0.25">
      <c r="A613" s="1" t="s">
        <v>27</v>
      </c>
      <c r="B613" s="1" t="s">
        <v>43</v>
      </c>
      <c r="C613" s="1" t="s">
        <v>29</v>
      </c>
      <c r="D613" s="1" t="s">
        <v>44</v>
      </c>
      <c r="E613" s="1" t="s">
        <v>120</v>
      </c>
      <c r="F613" s="1" t="s">
        <v>21</v>
      </c>
      <c r="G613" s="1" t="s">
        <v>140</v>
      </c>
      <c r="H613" s="1" t="s">
        <v>550</v>
      </c>
      <c r="I613" s="1" t="s">
        <v>209</v>
      </c>
      <c r="J613" s="1" t="s">
        <v>125</v>
      </c>
      <c r="K613" s="1" t="s">
        <v>109</v>
      </c>
      <c r="L613" s="1">
        <v>3069304</v>
      </c>
      <c r="M613" s="1" t="s">
        <v>831</v>
      </c>
      <c r="N613" s="5">
        <f t="shared" si="228"/>
        <v>45320</v>
      </c>
      <c r="O613" s="5">
        <f>DATE(2026,12,23)</f>
        <v>46379</v>
      </c>
      <c r="P613" s="5">
        <f t="shared" si="207"/>
        <v>47474</v>
      </c>
      <c r="Q613" s="1">
        <v>2000</v>
      </c>
      <c r="R613" s="1">
        <v>2000</v>
      </c>
      <c r="S613" s="1">
        <f t="shared" si="208"/>
        <v>2000</v>
      </c>
      <c r="T613" s="1">
        <v>1.5</v>
      </c>
      <c r="U613" s="1" t="str">
        <f t="shared" si="209"/>
        <v>SIM</v>
      </c>
      <c r="V613" s="1">
        <f t="shared" si="210"/>
        <v>1060</v>
      </c>
      <c r="W613" s="4">
        <f t="shared" si="211"/>
        <v>1.8867924528301887</v>
      </c>
      <c r="X613" s="4">
        <f t="shared" si="212"/>
        <v>688.67924528301887</v>
      </c>
      <c r="Y613" s="4">
        <f t="shared" si="213"/>
        <v>0.86084905660377364</v>
      </c>
      <c r="AB613" s="5">
        <f t="shared" si="214"/>
        <v>45292</v>
      </c>
      <c r="AC613" s="5">
        <f t="shared" si="215"/>
        <v>45657</v>
      </c>
      <c r="AD613" s="1">
        <v>21</v>
      </c>
      <c r="AE613" s="1">
        <f t="shared" si="216"/>
        <v>0</v>
      </c>
      <c r="AF613" s="1">
        <f t="shared" si="217"/>
        <v>338</v>
      </c>
      <c r="AG613" s="1">
        <f t="shared" si="218"/>
        <v>0</v>
      </c>
      <c r="AH613" s="1">
        <f t="shared" si="219"/>
        <v>0</v>
      </c>
      <c r="AI613" s="1">
        <f t="shared" si="220"/>
        <v>0</v>
      </c>
      <c r="AJ613" s="3">
        <f t="shared" si="221"/>
        <v>0.92349726775956287</v>
      </c>
      <c r="AK613" s="3">
        <f t="shared" si="222"/>
        <v>0.79499175172698222</v>
      </c>
      <c r="AL613" s="3">
        <f t="shared" si="223"/>
        <v>16.694826786266628</v>
      </c>
      <c r="AM613" s="3">
        <f t="shared" si="224"/>
        <v>25.04224017939994</v>
      </c>
      <c r="AN613" s="3">
        <f t="shared" si="225"/>
        <v>0</v>
      </c>
      <c r="AO613" s="3">
        <f t="shared" si="226"/>
        <v>25.04224017939994</v>
      </c>
      <c r="AP613" s="1" t="str">
        <f>INDEX({"EAD";"EAD";"EAD";"EAD MOOC";"EAD";"EAD";"EAD FP";"EAD";"PRESENCIAL";"PRESENCIAL";"PRESENCIAL";"PRESENCIAL"}, MATCH(CONCATENATE(E613, ".", F613),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14" spans="1:42" x14ac:dyDescent="0.25">
      <c r="A614" s="1" t="s">
        <v>27</v>
      </c>
      <c r="B614" s="1" t="s">
        <v>43</v>
      </c>
      <c r="C614" s="1" t="s">
        <v>29</v>
      </c>
      <c r="D614" s="1" t="s">
        <v>44</v>
      </c>
      <c r="E614" s="1" t="s">
        <v>120</v>
      </c>
      <c r="F614" s="1" t="s">
        <v>21</v>
      </c>
      <c r="G614" s="1" t="s">
        <v>140</v>
      </c>
      <c r="H614" s="1" t="s">
        <v>500</v>
      </c>
      <c r="I614" s="1" t="s">
        <v>209</v>
      </c>
      <c r="J614" s="1" t="s">
        <v>125</v>
      </c>
      <c r="K614" s="1" t="s">
        <v>109</v>
      </c>
      <c r="L614" s="1">
        <v>3069305</v>
      </c>
      <c r="M614" s="1" t="s">
        <v>832</v>
      </c>
      <c r="N614" s="5">
        <f t="shared" si="228"/>
        <v>45320</v>
      </c>
      <c r="O614" s="5">
        <f>DATE(2026,12,23)</f>
        <v>46379</v>
      </c>
      <c r="P614" s="5">
        <f t="shared" si="207"/>
        <v>47474</v>
      </c>
      <c r="Q614" s="1">
        <v>2130</v>
      </c>
      <c r="R614" s="1">
        <v>2000</v>
      </c>
      <c r="S614" s="1">
        <f t="shared" si="208"/>
        <v>2000</v>
      </c>
      <c r="T614" s="1">
        <v>1</v>
      </c>
      <c r="U614" s="1" t="str">
        <f t="shared" si="209"/>
        <v>SIM</v>
      </c>
      <c r="V614" s="1">
        <f t="shared" si="210"/>
        <v>1060</v>
      </c>
      <c r="W614" s="4">
        <f t="shared" si="211"/>
        <v>1.8867924528301887</v>
      </c>
      <c r="X614" s="4">
        <f t="shared" si="212"/>
        <v>688.67924528301887</v>
      </c>
      <c r="Y614" s="4">
        <f t="shared" si="213"/>
        <v>0.86084905660377364</v>
      </c>
      <c r="AB614" s="5">
        <f t="shared" si="214"/>
        <v>45292</v>
      </c>
      <c r="AC614" s="5">
        <f t="shared" si="215"/>
        <v>45657</v>
      </c>
      <c r="AD614" s="1">
        <v>37</v>
      </c>
      <c r="AE614" s="1">
        <f t="shared" si="216"/>
        <v>0</v>
      </c>
      <c r="AF614" s="1">
        <f t="shared" si="217"/>
        <v>338</v>
      </c>
      <c r="AG614" s="1">
        <f t="shared" si="218"/>
        <v>0</v>
      </c>
      <c r="AH614" s="1">
        <f t="shared" si="219"/>
        <v>0</v>
      </c>
      <c r="AI614" s="1">
        <f t="shared" si="220"/>
        <v>0</v>
      </c>
      <c r="AJ614" s="3">
        <f t="shared" si="221"/>
        <v>0.92349726775956287</v>
      </c>
      <c r="AK614" s="3">
        <f t="shared" si="222"/>
        <v>0.79499175172698222</v>
      </c>
      <c r="AL614" s="3">
        <f t="shared" si="223"/>
        <v>29.414694813898343</v>
      </c>
      <c r="AM614" s="3">
        <f t="shared" si="224"/>
        <v>29.414694813898343</v>
      </c>
      <c r="AN614" s="3">
        <f t="shared" si="225"/>
        <v>0</v>
      </c>
      <c r="AO614" s="3">
        <f t="shared" si="226"/>
        <v>29.414694813898343</v>
      </c>
      <c r="AP614" s="1" t="str">
        <f>INDEX({"EAD";"EAD";"EAD";"EAD MOOC";"EAD";"EAD";"EAD FP";"EAD";"PRESENCIAL";"PRESENCIAL";"PRESENCIAL";"PRESENCIAL"}, MATCH(CONCATENATE(E614, ".", F614),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15" spans="1:42" x14ac:dyDescent="0.25">
      <c r="A615" s="1" t="s">
        <v>27</v>
      </c>
      <c r="B615" s="1" t="s">
        <v>43</v>
      </c>
      <c r="C615" s="1" t="s">
        <v>29</v>
      </c>
      <c r="D615" s="1" t="s">
        <v>44</v>
      </c>
      <c r="E615" s="1" t="s">
        <v>120</v>
      </c>
      <c r="F615" s="1" t="s">
        <v>21</v>
      </c>
      <c r="G615" s="1" t="s">
        <v>121</v>
      </c>
      <c r="H615" s="1" t="s">
        <v>806</v>
      </c>
      <c r="I615" s="1" t="s">
        <v>289</v>
      </c>
      <c r="J615" s="1" t="s">
        <v>125</v>
      </c>
      <c r="K615" s="1" t="s">
        <v>109</v>
      </c>
      <c r="L615" s="1">
        <v>3069306</v>
      </c>
      <c r="M615" s="1" t="s">
        <v>833</v>
      </c>
      <c r="N615" s="5">
        <f t="shared" si="228"/>
        <v>45320</v>
      </c>
      <c r="O615" s="5">
        <f>DATE(2028,12,22)</f>
        <v>47109</v>
      </c>
      <c r="P615" s="5">
        <f t="shared" si="207"/>
        <v>48204</v>
      </c>
      <c r="Q615" s="1">
        <v>3780</v>
      </c>
      <c r="R615" s="1">
        <v>3600</v>
      </c>
      <c r="S615" s="1">
        <f t="shared" si="208"/>
        <v>3600</v>
      </c>
      <c r="T615" s="1">
        <v>2.5</v>
      </c>
      <c r="U615" s="1" t="str">
        <f t="shared" si="209"/>
        <v>SIM</v>
      </c>
      <c r="V615" s="1">
        <f t="shared" si="210"/>
        <v>1790</v>
      </c>
      <c r="W615" s="4">
        <f t="shared" si="211"/>
        <v>2.011173184357542</v>
      </c>
      <c r="X615" s="4">
        <f t="shared" si="212"/>
        <v>734.07821229050285</v>
      </c>
      <c r="Y615" s="4">
        <f t="shared" si="213"/>
        <v>0.91759776536312854</v>
      </c>
      <c r="AB615" s="5">
        <f t="shared" si="214"/>
        <v>45292</v>
      </c>
      <c r="AC615" s="5">
        <f t="shared" si="215"/>
        <v>45657</v>
      </c>
      <c r="AD615" s="1">
        <v>50</v>
      </c>
      <c r="AE615" s="1">
        <f t="shared" si="216"/>
        <v>0</v>
      </c>
      <c r="AF615" s="1">
        <f t="shared" si="217"/>
        <v>338</v>
      </c>
      <c r="AG615" s="1">
        <f t="shared" si="218"/>
        <v>0</v>
      </c>
      <c r="AH615" s="1">
        <f t="shared" si="219"/>
        <v>0</v>
      </c>
      <c r="AI615" s="1">
        <f t="shared" si="220"/>
        <v>0</v>
      </c>
      <c r="AJ615" s="3">
        <f t="shared" si="221"/>
        <v>0.92349726775956287</v>
      </c>
      <c r="AK615" s="3">
        <f t="shared" si="222"/>
        <v>0.84739902921512966</v>
      </c>
      <c r="AL615" s="3">
        <f t="shared" si="223"/>
        <v>42.369951460756482</v>
      </c>
      <c r="AM615" s="3">
        <f t="shared" si="224"/>
        <v>105.92487865189121</v>
      </c>
      <c r="AN615" s="3">
        <f t="shared" si="225"/>
        <v>0</v>
      </c>
      <c r="AO615" s="3">
        <f t="shared" si="226"/>
        <v>105.92487865189121</v>
      </c>
      <c r="AP615" s="1" t="str">
        <f>INDEX({"EAD";"EAD";"EAD";"EAD MOOC";"EAD";"EAD";"EAD FP";"EAD";"PRESENCIAL";"PRESENCIAL";"PRESENCIAL";"PRESENCIAL"}, MATCH(CONCATENATE(E615, ".", F615),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16" spans="1:42" x14ac:dyDescent="0.25">
      <c r="A616" s="1" t="s">
        <v>27</v>
      </c>
      <c r="B616" s="1" t="s">
        <v>43</v>
      </c>
      <c r="C616" s="1" t="s">
        <v>29</v>
      </c>
      <c r="D616" s="1" t="s">
        <v>44</v>
      </c>
      <c r="E616" s="1" t="s">
        <v>120</v>
      </c>
      <c r="F616" s="1" t="s">
        <v>21</v>
      </c>
      <c r="G616" s="1" t="s">
        <v>121</v>
      </c>
      <c r="H616" s="1" t="s">
        <v>506</v>
      </c>
      <c r="I616" s="1" t="s">
        <v>209</v>
      </c>
      <c r="J616" s="1" t="s">
        <v>125</v>
      </c>
      <c r="K616" s="1" t="s">
        <v>109</v>
      </c>
      <c r="L616" s="1">
        <v>3069308</v>
      </c>
      <c r="M616" s="1" t="s">
        <v>834</v>
      </c>
      <c r="N616" s="5">
        <f t="shared" si="228"/>
        <v>45320</v>
      </c>
      <c r="O616" s="5">
        <f>DATE(2028,12,22)</f>
        <v>47109</v>
      </c>
      <c r="P616" s="5">
        <f t="shared" si="207"/>
        <v>48204</v>
      </c>
      <c r="Q616" s="1">
        <v>3448</v>
      </c>
      <c r="R616" s="1">
        <v>3200</v>
      </c>
      <c r="S616" s="1">
        <f t="shared" si="208"/>
        <v>3200</v>
      </c>
      <c r="T616" s="1">
        <v>2.5</v>
      </c>
      <c r="U616" s="1" t="str">
        <f t="shared" si="209"/>
        <v>SIM</v>
      </c>
      <c r="V616" s="1">
        <f t="shared" si="210"/>
        <v>1790</v>
      </c>
      <c r="W616" s="4">
        <f t="shared" si="211"/>
        <v>1.7877094972067038</v>
      </c>
      <c r="X616" s="4">
        <f t="shared" si="212"/>
        <v>652.51396648044692</v>
      </c>
      <c r="Y616" s="4">
        <f t="shared" si="213"/>
        <v>0.81564245810055869</v>
      </c>
      <c r="AB616" s="5">
        <f t="shared" si="214"/>
        <v>45292</v>
      </c>
      <c r="AC616" s="5">
        <f t="shared" si="215"/>
        <v>45657</v>
      </c>
      <c r="AD616" s="1">
        <v>42</v>
      </c>
      <c r="AE616" s="1">
        <f t="shared" si="216"/>
        <v>0</v>
      </c>
      <c r="AF616" s="1">
        <f t="shared" si="217"/>
        <v>338</v>
      </c>
      <c r="AG616" s="1">
        <f t="shared" si="218"/>
        <v>0</v>
      </c>
      <c r="AH616" s="1">
        <f t="shared" si="219"/>
        <v>0</v>
      </c>
      <c r="AI616" s="1">
        <f t="shared" si="220"/>
        <v>0</v>
      </c>
      <c r="AJ616" s="3">
        <f t="shared" si="221"/>
        <v>0.92349726775956287</v>
      </c>
      <c r="AK616" s="3">
        <f t="shared" si="222"/>
        <v>0.75324358152455972</v>
      </c>
      <c r="AL616" s="3">
        <f t="shared" si="223"/>
        <v>31.63623042403151</v>
      </c>
      <c r="AM616" s="3">
        <f t="shared" si="224"/>
        <v>79.090576060078774</v>
      </c>
      <c r="AN616" s="3">
        <f t="shared" si="225"/>
        <v>0</v>
      </c>
      <c r="AO616" s="3">
        <f t="shared" si="226"/>
        <v>79.090576060078774</v>
      </c>
      <c r="AP616" s="1" t="str">
        <f>INDEX({"EAD";"EAD";"EAD";"EAD MOOC";"EAD";"EAD";"EAD FP";"EAD";"PRESENCIAL";"PRESENCIAL";"PRESENCIAL";"PRESENCIAL"}, MATCH(CONCATENATE(E616, ".", F616),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17" spans="1:42" x14ac:dyDescent="0.25">
      <c r="A617" s="1" t="s">
        <v>27</v>
      </c>
      <c r="B617" s="1" t="s">
        <v>43</v>
      </c>
      <c r="C617" s="1" t="s">
        <v>29</v>
      </c>
      <c r="D617" s="1" t="s">
        <v>44</v>
      </c>
      <c r="E617" s="1" t="s">
        <v>120</v>
      </c>
      <c r="F617" s="1" t="s">
        <v>21</v>
      </c>
      <c r="G617" s="1" t="s">
        <v>121</v>
      </c>
      <c r="H617" s="1" t="s">
        <v>508</v>
      </c>
      <c r="I617" s="1" t="s">
        <v>503</v>
      </c>
      <c r="J617" s="1" t="s">
        <v>125</v>
      </c>
      <c r="K617" s="1" t="s">
        <v>109</v>
      </c>
      <c r="L617" s="1">
        <v>3069310</v>
      </c>
      <c r="M617" s="1" t="s">
        <v>835</v>
      </c>
      <c r="N617" s="5">
        <f t="shared" si="228"/>
        <v>45320</v>
      </c>
      <c r="O617" s="5">
        <f>DATE(2028,12,22)</f>
        <v>47109</v>
      </c>
      <c r="P617" s="5">
        <f t="shared" si="207"/>
        <v>48204</v>
      </c>
      <c r="Q617" s="1">
        <v>3716</v>
      </c>
      <c r="R617" s="1">
        <v>3600</v>
      </c>
      <c r="S617" s="1">
        <f t="shared" si="208"/>
        <v>3600</v>
      </c>
      <c r="T617" s="1">
        <v>2.5</v>
      </c>
      <c r="U617" s="1" t="str">
        <f t="shared" si="209"/>
        <v>SIM</v>
      </c>
      <c r="V617" s="1">
        <f t="shared" si="210"/>
        <v>1790</v>
      </c>
      <c r="W617" s="4">
        <f t="shared" si="211"/>
        <v>2.011173184357542</v>
      </c>
      <c r="X617" s="4">
        <f t="shared" si="212"/>
        <v>734.07821229050285</v>
      </c>
      <c r="Y617" s="4">
        <f t="shared" si="213"/>
        <v>0.91759776536312854</v>
      </c>
      <c r="AB617" s="5">
        <f t="shared" si="214"/>
        <v>45292</v>
      </c>
      <c r="AC617" s="5">
        <f t="shared" si="215"/>
        <v>45657</v>
      </c>
      <c r="AD617" s="1">
        <v>22</v>
      </c>
      <c r="AE617" s="1">
        <f t="shared" si="216"/>
        <v>0</v>
      </c>
      <c r="AF617" s="1">
        <f t="shared" si="217"/>
        <v>338</v>
      </c>
      <c r="AG617" s="1">
        <f t="shared" si="218"/>
        <v>0</v>
      </c>
      <c r="AH617" s="1">
        <f t="shared" si="219"/>
        <v>0</v>
      </c>
      <c r="AI617" s="1">
        <f t="shared" si="220"/>
        <v>0</v>
      </c>
      <c r="AJ617" s="3">
        <f t="shared" si="221"/>
        <v>0.92349726775956287</v>
      </c>
      <c r="AK617" s="3">
        <f t="shared" si="222"/>
        <v>0.84739902921512966</v>
      </c>
      <c r="AL617" s="3">
        <f t="shared" si="223"/>
        <v>18.642778642732853</v>
      </c>
      <c r="AM617" s="3">
        <f t="shared" si="224"/>
        <v>46.606946606832132</v>
      </c>
      <c r="AN617" s="3">
        <f t="shared" si="225"/>
        <v>0</v>
      </c>
      <c r="AO617" s="3">
        <f t="shared" si="226"/>
        <v>46.606946606832132</v>
      </c>
      <c r="AP617" s="1" t="str">
        <f>INDEX({"EAD";"EAD";"EAD";"EAD MOOC";"EAD";"EAD";"EAD FP";"EAD";"PRESENCIAL";"PRESENCIAL";"PRESENCIAL";"PRESENCIAL"}, MATCH(CONCATENATE(E617, ".", F617),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18" spans="1:42" x14ac:dyDescent="0.25">
      <c r="A618" s="1" t="s">
        <v>27</v>
      </c>
      <c r="B618" s="1" t="s">
        <v>43</v>
      </c>
      <c r="C618" s="1" t="s">
        <v>29</v>
      </c>
      <c r="D618" s="1" t="s">
        <v>44</v>
      </c>
      <c r="E618" s="1" t="s">
        <v>120</v>
      </c>
      <c r="F618" s="1" t="s">
        <v>21</v>
      </c>
      <c r="G618" s="1" t="s">
        <v>121</v>
      </c>
      <c r="H618" s="1" t="s">
        <v>662</v>
      </c>
      <c r="I618" s="1" t="s">
        <v>503</v>
      </c>
      <c r="J618" s="1" t="s">
        <v>125</v>
      </c>
      <c r="K618" s="1" t="s">
        <v>109</v>
      </c>
      <c r="L618" s="1">
        <v>3069312</v>
      </c>
      <c r="M618" s="1" t="s">
        <v>836</v>
      </c>
      <c r="N618" s="5">
        <f t="shared" si="228"/>
        <v>45320</v>
      </c>
      <c r="O618" s="5">
        <f>DATE(2028,12,22)</f>
        <v>47109</v>
      </c>
      <c r="P618" s="5">
        <f t="shared" si="207"/>
        <v>48204</v>
      </c>
      <c r="Q618" s="1">
        <v>3662</v>
      </c>
      <c r="R618" s="1">
        <v>3600</v>
      </c>
      <c r="S618" s="1">
        <f t="shared" si="208"/>
        <v>3600</v>
      </c>
      <c r="T618" s="1">
        <v>2.5</v>
      </c>
      <c r="U618" s="1" t="str">
        <f t="shared" si="209"/>
        <v>SIM</v>
      </c>
      <c r="V618" s="1">
        <f t="shared" si="210"/>
        <v>1790</v>
      </c>
      <c r="W618" s="4">
        <f t="shared" si="211"/>
        <v>2.011173184357542</v>
      </c>
      <c r="X618" s="4">
        <f t="shared" si="212"/>
        <v>734.07821229050285</v>
      </c>
      <c r="Y618" s="4">
        <f t="shared" si="213"/>
        <v>0.91759776536312854</v>
      </c>
      <c r="AB618" s="5">
        <f t="shared" si="214"/>
        <v>45292</v>
      </c>
      <c r="AC618" s="5">
        <f t="shared" si="215"/>
        <v>45657</v>
      </c>
      <c r="AD618" s="1">
        <v>51</v>
      </c>
      <c r="AE618" s="1">
        <f t="shared" si="216"/>
        <v>0</v>
      </c>
      <c r="AF618" s="1">
        <f t="shared" si="217"/>
        <v>338</v>
      </c>
      <c r="AG618" s="1">
        <f t="shared" si="218"/>
        <v>0</v>
      </c>
      <c r="AH618" s="1">
        <f t="shared" si="219"/>
        <v>0</v>
      </c>
      <c r="AI618" s="1">
        <f t="shared" si="220"/>
        <v>0</v>
      </c>
      <c r="AJ618" s="3">
        <f t="shared" si="221"/>
        <v>0.92349726775956287</v>
      </c>
      <c r="AK618" s="3">
        <f t="shared" si="222"/>
        <v>0.84739902921512966</v>
      </c>
      <c r="AL618" s="3">
        <f t="shared" si="223"/>
        <v>43.217350489971615</v>
      </c>
      <c r="AM618" s="3">
        <f t="shared" si="224"/>
        <v>108.04337622492903</v>
      </c>
      <c r="AN618" s="3">
        <f t="shared" si="225"/>
        <v>0</v>
      </c>
      <c r="AO618" s="3">
        <f t="shared" si="226"/>
        <v>108.04337622492903</v>
      </c>
      <c r="AP618" s="1" t="str">
        <f>INDEX({"EAD";"EAD";"EAD";"EAD MOOC";"EAD";"EAD";"EAD FP";"EAD";"PRESENCIAL";"PRESENCIAL";"PRESENCIAL";"PRESENCIAL"}, MATCH(CONCATENATE(E618, ".", F618),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19" spans="1:42" x14ac:dyDescent="0.25">
      <c r="A619" s="1" t="s">
        <v>27</v>
      </c>
      <c r="B619" s="1" t="s">
        <v>43</v>
      </c>
      <c r="C619" s="1" t="s">
        <v>29</v>
      </c>
      <c r="D619" s="1" t="s">
        <v>44</v>
      </c>
      <c r="E619" s="1" t="s">
        <v>120</v>
      </c>
      <c r="F619" s="1" t="s">
        <v>21</v>
      </c>
      <c r="G619" s="1" t="s">
        <v>121</v>
      </c>
      <c r="H619" s="1" t="s">
        <v>495</v>
      </c>
      <c r="I619" s="1" t="s">
        <v>124</v>
      </c>
      <c r="J619" s="1" t="s">
        <v>125</v>
      </c>
      <c r="K619" s="1" t="s">
        <v>109</v>
      </c>
      <c r="L619" s="1">
        <v>3069313</v>
      </c>
      <c r="M619" s="1" t="s">
        <v>837</v>
      </c>
      <c r="N619" s="5">
        <f t="shared" si="228"/>
        <v>45320</v>
      </c>
      <c r="O619" s="5">
        <f>DATE(2026,12,23)</f>
        <v>46379</v>
      </c>
      <c r="P619" s="5">
        <f t="shared" si="207"/>
        <v>47474</v>
      </c>
      <c r="Q619" s="1">
        <v>2496</v>
      </c>
      <c r="R619" s="1">
        <v>2400</v>
      </c>
      <c r="S619" s="1">
        <f t="shared" si="208"/>
        <v>2400</v>
      </c>
      <c r="T619" s="1">
        <v>1</v>
      </c>
      <c r="U619" s="1" t="str">
        <f t="shared" si="209"/>
        <v>SIM</v>
      </c>
      <c r="V619" s="1">
        <f t="shared" si="210"/>
        <v>1060</v>
      </c>
      <c r="W619" s="4">
        <f t="shared" si="211"/>
        <v>2.2641509433962264</v>
      </c>
      <c r="X619" s="4">
        <f t="shared" si="212"/>
        <v>826.41509433962267</v>
      </c>
      <c r="Y619" s="4">
        <f t="shared" si="213"/>
        <v>1.0330188679245282</v>
      </c>
      <c r="AB619" s="5">
        <f t="shared" si="214"/>
        <v>45292</v>
      </c>
      <c r="AC619" s="5">
        <f t="shared" si="215"/>
        <v>45657</v>
      </c>
      <c r="AD619" s="1">
        <v>31</v>
      </c>
      <c r="AE619" s="1">
        <f t="shared" si="216"/>
        <v>0</v>
      </c>
      <c r="AF619" s="1">
        <f t="shared" si="217"/>
        <v>338</v>
      </c>
      <c r="AG619" s="1">
        <f t="shared" si="218"/>
        <v>0</v>
      </c>
      <c r="AH619" s="1">
        <f t="shared" si="219"/>
        <v>0</v>
      </c>
      <c r="AI619" s="1">
        <f t="shared" si="220"/>
        <v>0</v>
      </c>
      <c r="AJ619" s="3">
        <f t="shared" si="221"/>
        <v>0.92349726775956287</v>
      </c>
      <c r="AK619" s="3">
        <f t="shared" si="222"/>
        <v>0.95399010207237855</v>
      </c>
      <c r="AL619" s="3">
        <f t="shared" si="223"/>
        <v>29.573693164243736</v>
      </c>
      <c r="AM619" s="3">
        <f t="shared" si="224"/>
        <v>29.573693164243736</v>
      </c>
      <c r="AN619" s="3">
        <f t="shared" si="225"/>
        <v>0</v>
      </c>
      <c r="AO619" s="3">
        <f t="shared" si="226"/>
        <v>29.573693164243736</v>
      </c>
      <c r="AP619" s="1" t="str">
        <f>INDEX({"EAD";"EAD";"EAD";"EAD MOOC";"EAD";"EAD";"EAD FP";"EAD";"PRESENCIAL";"PRESENCIAL";"PRESENCIAL";"PRESENCIAL"}, MATCH(CONCATENATE(E619, ".", F619),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20" spans="1:42" x14ac:dyDescent="0.25">
      <c r="A620" s="1" t="s">
        <v>27</v>
      </c>
      <c r="B620" s="1" t="s">
        <v>43</v>
      </c>
      <c r="C620" s="1" t="s">
        <v>29</v>
      </c>
      <c r="D620" s="1" t="s">
        <v>44</v>
      </c>
      <c r="E620" s="1" t="s">
        <v>120</v>
      </c>
      <c r="F620" s="1" t="s">
        <v>21</v>
      </c>
      <c r="G620" s="1" t="s">
        <v>121</v>
      </c>
      <c r="H620" s="1" t="s">
        <v>537</v>
      </c>
      <c r="I620" s="1" t="s">
        <v>187</v>
      </c>
      <c r="J620" s="1" t="s">
        <v>125</v>
      </c>
      <c r="K620" s="1" t="s">
        <v>109</v>
      </c>
      <c r="L620" s="1">
        <v>3069319</v>
      </c>
      <c r="M620" s="1" t="s">
        <v>838</v>
      </c>
      <c r="N620" s="5">
        <f t="shared" si="228"/>
        <v>45320</v>
      </c>
      <c r="O620" s="5">
        <f>DATE(2026,12,23)</f>
        <v>46379</v>
      </c>
      <c r="P620" s="5">
        <f t="shared" si="207"/>
        <v>47474</v>
      </c>
      <c r="Q620" s="1">
        <v>2400</v>
      </c>
      <c r="R620" s="1">
        <v>2400</v>
      </c>
      <c r="S620" s="1">
        <f t="shared" si="208"/>
        <v>2400</v>
      </c>
      <c r="T620" s="1">
        <v>1</v>
      </c>
      <c r="U620" s="1" t="str">
        <f t="shared" si="209"/>
        <v>SIM</v>
      </c>
      <c r="V620" s="1">
        <f t="shared" si="210"/>
        <v>1060</v>
      </c>
      <c r="W620" s="4">
        <f t="shared" si="211"/>
        <v>2.2641509433962264</v>
      </c>
      <c r="X620" s="4">
        <f t="shared" si="212"/>
        <v>826.41509433962267</v>
      </c>
      <c r="Y620" s="4">
        <f t="shared" si="213"/>
        <v>1.0330188679245282</v>
      </c>
      <c r="AB620" s="5">
        <f t="shared" si="214"/>
        <v>45292</v>
      </c>
      <c r="AC620" s="5">
        <f t="shared" si="215"/>
        <v>45657</v>
      </c>
      <c r="AD620" s="1">
        <v>22</v>
      </c>
      <c r="AE620" s="1">
        <f t="shared" si="216"/>
        <v>0</v>
      </c>
      <c r="AF620" s="1">
        <f t="shared" si="217"/>
        <v>338</v>
      </c>
      <c r="AG620" s="1">
        <f t="shared" si="218"/>
        <v>0</v>
      </c>
      <c r="AH620" s="1">
        <f t="shared" si="219"/>
        <v>0</v>
      </c>
      <c r="AI620" s="1">
        <f t="shared" si="220"/>
        <v>0</v>
      </c>
      <c r="AJ620" s="3">
        <f t="shared" si="221"/>
        <v>0.92349726775956287</v>
      </c>
      <c r="AK620" s="3">
        <f t="shared" si="222"/>
        <v>0.95399010207237855</v>
      </c>
      <c r="AL620" s="3">
        <f t="shared" si="223"/>
        <v>20.987782245592328</v>
      </c>
      <c r="AM620" s="3">
        <f t="shared" si="224"/>
        <v>20.987782245592328</v>
      </c>
      <c r="AN620" s="3">
        <f t="shared" si="225"/>
        <v>0</v>
      </c>
      <c r="AO620" s="3">
        <f t="shared" si="226"/>
        <v>20.987782245592328</v>
      </c>
      <c r="AP620" s="1" t="str">
        <f>INDEX({"EAD";"EAD";"EAD";"EAD MOOC";"EAD";"EAD";"EAD FP";"EAD";"PRESENCIAL";"PRESENCIAL";"PRESENCIAL";"PRESENCIAL"}, MATCH(CONCATENATE(E620, ".", F620),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21" spans="1:42" x14ac:dyDescent="0.25">
      <c r="A621" s="1" t="s">
        <v>27</v>
      </c>
      <c r="B621" s="1" t="s">
        <v>43</v>
      </c>
      <c r="C621" s="1" t="s">
        <v>29</v>
      </c>
      <c r="D621" s="1" t="s">
        <v>44</v>
      </c>
      <c r="E621" s="1" t="s">
        <v>120</v>
      </c>
      <c r="F621" s="1" t="s">
        <v>21</v>
      </c>
      <c r="G621" s="1" t="s">
        <v>278</v>
      </c>
      <c r="H621" s="1" t="s">
        <v>629</v>
      </c>
      <c r="I621" s="1" t="s">
        <v>172</v>
      </c>
      <c r="J621" s="1" t="s">
        <v>125</v>
      </c>
      <c r="K621" s="1" t="s">
        <v>109</v>
      </c>
      <c r="L621" s="1">
        <v>3069336</v>
      </c>
      <c r="M621" s="1" t="s">
        <v>839</v>
      </c>
      <c r="N621" s="5">
        <f t="shared" si="228"/>
        <v>45320</v>
      </c>
      <c r="O621" s="5">
        <f>DATE(2027,12,23)</f>
        <v>46744</v>
      </c>
      <c r="P621" s="5">
        <f t="shared" si="207"/>
        <v>47839</v>
      </c>
      <c r="Q621" s="1">
        <v>3230</v>
      </c>
      <c r="R621" s="1">
        <v>3200</v>
      </c>
      <c r="S621" s="1">
        <f t="shared" si="208"/>
        <v>3200</v>
      </c>
      <c r="T621" s="1">
        <v>2.5</v>
      </c>
      <c r="U621" s="1" t="str">
        <f t="shared" si="209"/>
        <v>SIM</v>
      </c>
      <c r="V621" s="1">
        <f t="shared" si="210"/>
        <v>1425</v>
      </c>
      <c r="W621" s="4">
        <f t="shared" si="211"/>
        <v>2.2456140350877192</v>
      </c>
      <c r="X621" s="4">
        <f t="shared" si="212"/>
        <v>819.64912280701753</v>
      </c>
      <c r="Y621" s="4">
        <f t="shared" si="213"/>
        <v>1.024561403508772</v>
      </c>
      <c r="AB621" s="5">
        <f t="shared" si="214"/>
        <v>45292</v>
      </c>
      <c r="AC621" s="5">
        <f t="shared" si="215"/>
        <v>45657</v>
      </c>
      <c r="AD621" s="1">
        <v>43</v>
      </c>
      <c r="AE621" s="1">
        <f t="shared" si="216"/>
        <v>0</v>
      </c>
      <c r="AF621" s="1">
        <f t="shared" si="217"/>
        <v>338</v>
      </c>
      <c r="AG621" s="1">
        <f t="shared" si="218"/>
        <v>0</v>
      </c>
      <c r="AH621" s="1">
        <f t="shared" si="219"/>
        <v>0</v>
      </c>
      <c r="AI621" s="1">
        <f t="shared" si="220"/>
        <v>0</v>
      </c>
      <c r="AJ621" s="3">
        <f t="shared" si="221"/>
        <v>0.92349726775956287</v>
      </c>
      <c r="AK621" s="3">
        <f t="shared" si="222"/>
        <v>0.94617965679225391</v>
      </c>
      <c r="AL621" s="3">
        <f t="shared" si="223"/>
        <v>40.685725242066916</v>
      </c>
      <c r="AM621" s="3">
        <f t="shared" si="224"/>
        <v>101.71431310516729</v>
      </c>
      <c r="AN621" s="3">
        <f t="shared" si="225"/>
        <v>0</v>
      </c>
      <c r="AO621" s="3">
        <f t="shared" si="226"/>
        <v>101.71431310516729</v>
      </c>
      <c r="AP621" s="1" t="str">
        <f>INDEX({"EAD";"EAD";"EAD";"EAD MOOC";"EAD";"EAD";"EAD FP";"EAD";"PRESENCIAL";"PRESENCIAL";"PRESENCIAL";"PRESENCIAL"}, MATCH(CONCATENATE(E621, ".", F621),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22" spans="1:42" x14ac:dyDescent="0.25">
      <c r="A622" s="1" t="s">
        <v>27</v>
      </c>
      <c r="B622" s="1" t="s">
        <v>43</v>
      </c>
      <c r="C622" s="1" t="s">
        <v>29</v>
      </c>
      <c r="D622" s="1" t="s">
        <v>44</v>
      </c>
      <c r="E622" s="1" t="s">
        <v>170</v>
      </c>
      <c r="F622" s="1" t="s">
        <v>447</v>
      </c>
      <c r="G622" s="1" t="s">
        <v>161</v>
      </c>
      <c r="H622" s="1" t="s">
        <v>162</v>
      </c>
      <c r="I622" s="1" t="s">
        <v>124</v>
      </c>
      <c r="J622" s="1" t="s">
        <v>125</v>
      </c>
      <c r="K622" s="1" t="s">
        <v>109</v>
      </c>
      <c r="L622" s="1">
        <v>3085320</v>
      </c>
      <c r="M622" s="1" t="s">
        <v>840</v>
      </c>
      <c r="N622" s="5">
        <f>DATE(2024,3,4)</f>
        <v>45355</v>
      </c>
      <c r="O622" s="5">
        <f>DATE(2025,7,1)</f>
        <v>45839</v>
      </c>
      <c r="P622" s="5">
        <f t="shared" si="207"/>
        <v>45839</v>
      </c>
      <c r="Q622" s="1">
        <v>160</v>
      </c>
      <c r="R622" s="1">
        <v>1600</v>
      </c>
      <c r="S622" s="1">
        <f t="shared" si="208"/>
        <v>160</v>
      </c>
      <c r="T622" s="1">
        <v>1</v>
      </c>
      <c r="U622" s="1" t="str">
        <f t="shared" si="209"/>
        <v>SIM</v>
      </c>
      <c r="V622" s="1">
        <f t="shared" si="210"/>
        <v>485</v>
      </c>
      <c r="W622" s="4">
        <f t="shared" si="211"/>
        <v>0.32989690721649484</v>
      </c>
      <c r="X622" s="4">
        <f t="shared" si="212"/>
        <v>120.41237113402062</v>
      </c>
      <c r="Y622" s="4">
        <f t="shared" si="213"/>
        <v>0.15051546391752577</v>
      </c>
      <c r="AB622" s="5">
        <f t="shared" si="214"/>
        <v>45292</v>
      </c>
      <c r="AC622" s="5">
        <f t="shared" si="215"/>
        <v>45657</v>
      </c>
      <c r="AD622" s="1">
        <v>55</v>
      </c>
      <c r="AE622" s="1">
        <f t="shared" si="216"/>
        <v>0</v>
      </c>
      <c r="AF622" s="1">
        <f t="shared" si="217"/>
        <v>303</v>
      </c>
      <c r="AG622" s="1">
        <f t="shared" si="218"/>
        <v>0</v>
      </c>
      <c r="AH622" s="1">
        <f t="shared" si="219"/>
        <v>0</v>
      </c>
      <c r="AI622" s="1">
        <f t="shared" si="220"/>
        <v>0</v>
      </c>
      <c r="AJ622" s="3">
        <f t="shared" si="221"/>
        <v>0.82786885245901642</v>
      </c>
      <c r="AK622" s="3">
        <f t="shared" si="222"/>
        <v>0.12460706439073854</v>
      </c>
      <c r="AL622" s="3">
        <f t="shared" si="223"/>
        <v>6.8533885414906202</v>
      </c>
      <c r="AM622" s="3">
        <f t="shared" si="224"/>
        <v>6.8533885414906202</v>
      </c>
      <c r="AN622" s="3">
        <f t="shared" si="225"/>
        <v>0</v>
      </c>
      <c r="AO622" s="3">
        <f t="shared" si="226"/>
        <v>6.8533885414906202</v>
      </c>
      <c r="AP622" s="1" t="str">
        <f>INDEX({"EAD";"EAD";"EAD";"EAD MOOC";"EAD";"EAD";"EAD FP";"EAD";"PRESENCIAL";"PRESENCIAL";"PRESENCIAL";"PRESENCIAL"}, MATCH(CONCATENATE(E622, ".", F622),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23" spans="1:42" x14ac:dyDescent="0.25">
      <c r="A623" s="1" t="s">
        <v>27</v>
      </c>
      <c r="B623" s="1" t="s">
        <v>43</v>
      </c>
      <c r="C623" s="1" t="s">
        <v>29</v>
      </c>
      <c r="D623" s="1" t="s">
        <v>44</v>
      </c>
      <c r="E623" s="1" t="s">
        <v>120</v>
      </c>
      <c r="F623" s="1" t="s">
        <v>21</v>
      </c>
      <c r="G623" s="1" t="s">
        <v>727</v>
      </c>
      <c r="H623" s="1" t="s">
        <v>728</v>
      </c>
      <c r="I623" s="1" t="s">
        <v>172</v>
      </c>
      <c r="J623" s="1" t="s">
        <v>125</v>
      </c>
      <c r="K623" s="1" t="s">
        <v>109</v>
      </c>
      <c r="L623" s="1">
        <v>3111920</v>
      </c>
      <c r="M623" s="1" t="s">
        <v>841</v>
      </c>
      <c r="N623" s="5">
        <f>DATE(2024,3,8)</f>
        <v>45359</v>
      </c>
      <c r="O623" s="5">
        <f>DATE(2025,12,31)</f>
        <v>46022</v>
      </c>
      <c r="P623" s="5">
        <f t="shared" si="207"/>
        <v>47117</v>
      </c>
      <c r="Q623" s="1">
        <v>630</v>
      </c>
      <c r="R623" s="1">
        <v>360</v>
      </c>
      <c r="S623" s="1">
        <f t="shared" si="208"/>
        <v>360</v>
      </c>
      <c r="T623" s="1">
        <v>3.75</v>
      </c>
      <c r="U623" s="1" t="str">
        <f t="shared" si="209"/>
        <v>SIM</v>
      </c>
      <c r="V623" s="1">
        <f t="shared" si="210"/>
        <v>664</v>
      </c>
      <c r="W623" s="4">
        <f t="shared" si="211"/>
        <v>0.54216867469879515</v>
      </c>
      <c r="X623" s="4">
        <f t="shared" si="212"/>
        <v>197.89156626506022</v>
      </c>
      <c r="Y623" s="4">
        <f t="shared" si="213"/>
        <v>0.24736445783132527</v>
      </c>
      <c r="AB623" s="5">
        <f t="shared" si="214"/>
        <v>45292</v>
      </c>
      <c r="AC623" s="5">
        <f t="shared" si="215"/>
        <v>45657</v>
      </c>
      <c r="AD623" s="1">
        <v>4</v>
      </c>
      <c r="AE623" s="1">
        <f t="shared" si="216"/>
        <v>0</v>
      </c>
      <c r="AF623" s="1">
        <f t="shared" si="217"/>
        <v>299</v>
      </c>
      <c r="AG623" s="1">
        <f t="shared" si="218"/>
        <v>0</v>
      </c>
      <c r="AH623" s="1">
        <f t="shared" si="219"/>
        <v>0</v>
      </c>
      <c r="AI623" s="1">
        <f t="shared" si="220"/>
        <v>0</v>
      </c>
      <c r="AJ623" s="3">
        <f t="shared" si="221"/>
        <v>0.81693989071038253</v>
      </c>
      <c r="AK623" s="3">
        <f t="shared" si="222"/>
        <v>0.20208189314635588</v>
      </c>
      <c r="AL623" s="3">
        <f t="shared" si="223"/>
        <v>0.80832757258542354</v>
      </c>
      <c r="AM623" s="3">
        <f t="shared" si="224"/>
        <v>3.0312283971953384</v>
      </c>
      <c r="AN623" s="3">
        <f t="shared" si="225"/>
        <v>0</v>
      </c>
      <c r="AO623" s="3">
        <f t="shared" si="226"/>
        <v>3.0312283971953384</v>
      </c>
      <c r="AP623" s="1" t="str">
        <f>INDEX({"EAD";"EAD";"EAD";"EAD MOOC";"EAD";"EAD";"EAD FP";"EAD";"PRESENCIAL";"PRESENCIAL";"PRESENCIAL";"PRESENCIAL"}, MATCH(CONCATENATE(E623, ".", F623),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24" spans="1:42" x14ac:dyDescent="0.25">
      <c r="A624" s="1" t="s">
        <v>27</v>
      </c>
      <c r="B624" s="1" t="s">
        <v>43</v>
      </c>
      <c r="C624" s="1" t="s">
        <v>29</v>
      </c>
      <c r="D624" s="1" t="s">
        <v>44</v>
      </c>
      <c r="E624" s="1" t="s">
        <v>170</v>
      </c>
      <c r="F624" s="1" t="s">
        <v>510</v>
      </c>
      <c r="G624" s="1" t="s">
        <v>278</v>
      </c>
      <c r="H624" s="1" t="s">
        <v>608</v>
      </c>
      <c r="I624" s="1" t="s">
        <v>172</v>
      </c>
      <c r="J624" s="1" t="s">
        <v>125</v>
      </c>
      <c r="K624" s="1" t="s">
        <v>109</v>
      </c>
      <c r="L624" s="1">
        <v>3104482</v>
      </c>
      <c r="M624" s="1" t="s">
        <v>842</v>
      </c>
      <c r="N624" s="5">
        <f>DATE(2024,4,1)</f>
        <v>45383</v>
      </c>
      <c r="O624" s="5">
        <f>DATE(2027,4,30)</f>
        <v>46507</v>
      </c>
      <c r="P624" s="5">
        <f t="shared" si="207"/>
        <v>47602</v>
      </c>
      <c r="Q624" s="1">
        <v>3960</v>
      </c>
      <c r="R624" s="1">
        <v>3200</v>
      </c>
      <c r="S624" s="1">
        <f t="shared" si="208"/>
        <v>3200</v>
      </c>
      <c r="T624" s="1">
        <v>2.5</v>
      </c>
      <c r="U624" s="1" t="str">
        <f t="shared" si="209"/>
        <v>SIM</v>
      </c>
      <c r="V624" s="1">
        <f t="shared" si="210"/>
        <v>1125</v>
      </c>
      <c r="W624" s="4">
        <f t="shared" si="211"/>
        <v>2.8444444444444446</v>
      </c>
      <c r="X624" s="4">
        <f t="shared" si="212"/>
        <v>1038.2222222222222</v>
      </c>
      <c r="Y624" s="4">
        <f t="shared" si="213"/>
        <v>1.2977777777777777</v>
      </c>
      <c r="AB624" s="5">
        <f t="shared" si="214"/>
        <v>45292</v>
      </c>
      <c r="AC624" s="5">
        <f t="shared" si="215"/>
        <v>45657</v>
      </c>
      <c r="AD624" s="1">
        <v>399</v>
      </c>
      <c r="AE624" s="1">
        <f t="shared" si="216"/>
        <v>0</v>
      </c>
      <c r="AF624" s="1">
        <f t="shared" si="217"/>
        <v>275</v>
      </c>
      <c r="AG624" s="1">
        <f t="shared" si="218"/>
        <v>0</v>
      </c>
      <c r="AH624" s="1">
        <f t="shared" si="219"/>
        <v>0</v>
      </c>
      <c r="AI624" s="1">
        <f t="shared" si="220"/>
        <v>0</v>
      </c>
      <c r="AJ624" s="3">
        <f t="shared" si="221"/>
        <v>0.75136612021857918</v>
      </c>
      <c r="AK624" s="3">
        <f t="shared" si="222"/>
        <v>0.97510625379477822</v>
      </c>
      <c r="AL624" s="3">
        <f t="shared" si="223"/>
        <v>389.0673952641165</v>
      </c>
      <c r="AM624" s="3">
        <f t="shared" si="224"/>
        <v>972.66848816029119</v>
      </c>
      <c r="AN624" s="3">
        <f t="shared" si="225"/>
        <v>0</v>
      </c>
      <c r="AO624" s="3">
        <f t="shared" si="226"/>
        <v>972.66848816029119</v>
      </c>
      <c r="AP624" s="1" t="str">
        <f>INDEX({"EAD";"EAD";"EAD";"EAD MOOC";"EAD";"EAD";"EAD FP";"EAD";"PRESENCIAL";"PRESENCIAL";"PRESENCIAL";"PRESENCIAL"}, MATCH(CONCATENATE(E624, ".", F624),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25" spans="1:42" x14ac:dyDescent="0.25">
      <c r="A625" s="1" t="s">
        <v>27</v>
      </c>
      <c r="B625" s="1" t="s">
        <v>43</v>
      </c>
      <c r="C625" s="1" t="s">
        <v>29</v>
      </c>
      <c r="D625" s="1" t="s">
        <v>44</v>
      </c>
      <c r="E625" s="1" t="s">
        <v>170</v>
      </c>
      <c r="F625" s="1" t="s">
        <v>510</v>
      </c>
      <c r="G625" s="1" t="s">
        <v>140</v>
      </c>
      <c r="H625" s="1" t="s">
        <v>500</v>
      </c>
      <c r="I625" s="1" t="s">
        <v>209</v>
      </c>
      <c r="J625" s="1" t="s">
        <v>125</v>
      </c>
      <c r="K625" s="1" t="s">
        <v>109</v>
      </c>
      <c r="L625" s="1">
        <v>3104498</v>
      </c>
      <c r="M625" s="1" t="s">
        <v>843</v>
      </c>
      <c r="N625" s="5">
        <f>DATE(2024,4,1)</f>
        <v>45383</v>
      </c>
      <c r="O625" s="5">
        <f>DATE(2026,4,30)</f>
        <v>46142</v>
      </c>
      <c r="P625" s="5">
        <f t="shared" si="207"/>
        <v>47237</v>
      </c>
      <c r="Q625" s="1">
        <v>2340</v>
      </c>
      <c r="R625" s="1">
        <v>2000</v>
      </c>
      <c r="S625" s="1">
        <f t="shared" si="208"/>
        <v>2000</v>
      </c>
      <c r="T625" s="1">
        <v>1</v>
      </c>
      <c r="U625" s="1" t="str">
        <f t="shared" si="209"/>
        <v>SIM</v>
      </c>
      <c r="V625" s="1">
        <f t="shared" si="210"/>
        <v>760</v>
      </c>
      <c r="W625" s="4">
        <f t="shared" si="211"/>
        <v>2.6315789473684212</v>
      </c>
      <c r="X625" s="4">
        <f t="shared" si="212"/>
        <v>960.52631578947376</v>
      </c>
      <c r="Y625" s="4">
        <f t="shared" si="213"/>
        <v>1.2006578947368423</v>
      </c>
      <c r="AB625" s="5">
        <f t="shared" si="214"/>
        <v>45292</v>
      </c>
      <c r="AC625" s="5">
        <f t="shared" si="215"/>
        <v>45657</v>
      </c>
      <c r="AD625" s="1">
        <v>161</v>
      </c>
      <c r="AE625" s="1">
        <f t="shared" si="216"/>
        <v>0</v>
      </c>
      <c r="AF625" s="1">
        <f t="shared" si="217"/>
        <v>275</v>
      </c>
      <c r="AG625" s="1">
        <f t="shared" si="218"/>
        <v>0</v>
      </c>
      <c r="AH625" s="1">
        <f t="shared" si="219"/>
        <v>0</v>
      </c>
      <c r="AI625" s="1">
        <f t="shared" si="220"/>
        <v>0</v>
      </c>
      <c r="AJ625" s="3">
        <f t="shared" si="221"/>
        <v>0.75136612021857918</v>
      </c>
      <c r="AK625" s="3">
        <f t="shared" si="222"/>
        <v>0.90213366407822837</v>
      </c>
      <c r="AL625" s="3">
        <f t="shared" si="223"/>
        <v>145.24351991659478</v>
      </c>
      <c r="AM625" s="3">
        <f t="shared" si="224"/>
        <v>145.24351991659478</v>
      </c>
      <c r="AN625" s="3">
        <f t="shared" si="225"/>
        <v>0</v>
      </c>
      <c r="AO625" s="3">
        <f t="shared" si="226"/>
        <v>145.24351991659478</v>
      </c>
      <c r="AP625" s="1" t="str">
        <f>INDEX({"EAD";"EAD";"EAD";"EAD MOOC";"EAD";"EAD";"EAD FP";"EAD";"PRESENCIAL";"PRESENCIAL";"PRESENCIAL";"PRESENCIAL"}, MATCH(CONCATENATE(E625, ".", F625),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26" spans="1:42" x14ac:dyDescent="0.25">
      <c r="A626" s="1" t="s">
        <v>27</v>
      </c>
      <c r="B626" s="1" t="s">
        <v>43</v>
      </c>
      <c r="C626" s="1" t="s">
        <v>29</v>
      </c>
      <c r="D626" s="1" t="s">
        <v>44</v>
      </c>
      <c r="E626" s="1" t="s">
        <v>120</v>
      </c>
      <c r="F626" s="1" t="s">
        <v>21</v>
      </c>
      <c r="G626" s="1" t="s">
        <v>665</v>
      </c>
      <c r="H626" s="1" t="s">
        <v>666</v>
      </c>
      <c r="I626" s="1" t="s">
        <v>172</v>
      </c>
      <c r="J626" s="1" t="s">
        <v>125</v>
      </c>
      <c r="K626" s="1" t="s">
        <v>109</v>
      </c>
      <c r="L626" s="1">
        <v>3111913</v>
      </c>
      <c r="M626" s="1" t="s">
        <v>844</v>
      </c>
      <c r="N626" s="5">
        <f>DATE(2024,4,11)</f>
        <v>45393</v>
      </c>
      <c r="O626" s="5">
        <f>DATE(2026,4,11)</f>
        <v>46123</v>
      </c>
      <c r="P626" s="5">
        <f t="shared" si="207"/>
        <v>47218</v>
      </c>
      <c r="Q626" s="1">
        <v>480</v>
      </c>
      <c r="R626" s="1">
        <v>360</v>
      </c>
      <c r="S626" s="1">
        <f t="shared" si="208"/>
        <v>360</v>
      </c>
      <c r="T626" s="1">
        <v>3.75</v>
      </c>
      <c r="U626" s="1" t="str">
        <f t="shared" si="209"/>
        <v>SIM</v>
      </c>
      <c r="V626" s="1">
        <f t="shared" si="210"/>
        <v>731</v>
      </c>
      <c r="W626" s="4">
        <f t="shared" si="211"/>
        <v>0.49247606019151846</v>
      </c>
      <c r="X626" s="4">
        <f t="shared" si="212"/>
        <v>179.75376196990425</v>
      </c>
      <c r="Y626" s="4">
        <f t="shared" si="213"/>
        <v>0.22469220246238031</v>
      </c>
      <c r="AB626" s="5">
        <f t="shared" si="214"/>
        <v>45292</v>
      </c>
      <c r="AC626" s="5">
        <f t="shared" si="215"/>
        <v>45657</v>
      </c>
      <c r="AD626" s="1">
        <v>15</v>
      </c>
      <c r="AE626" s="1">
        <f t="shared" si="216"/>
        <v>0</v>
      </c>
      <c r="AF626" s="1">
        <f t="shared" si="217"/>
        <v>265</v>
      </c>
      <c r="AG626" s="1">
        <f t="shared" si="218"/>
        <v>0</v>
      </c>
      <c r="AH626" s="1">
        <f t="shared" si="219"/>
        <v>0</v>
      </c>
      <c r="AI626" s="1">
        <f t="shared" si="220"/>
        <v>0</v>
      </c>
      <c r="AJ626" s="3">
        <f t="shared" si="221"/>
        <v>0.72404371584699456</v>
      </c>
      <c r="AK626" s="3">
        <f t="shared" si="222"/>
        <v>0.16268697719270706</v>
      </c>
      <c r="AL626" s="3">
        <f t="shared" si="223"/>
        <v>2.4403046578906058</v>
      </c>
      <c r="AM626" s="3">
        <f t="shared" si="224"/>
        <v>9.1511424670897714</v>
      </c>
      <c r="AN626" s="3">
        <f t="shared" si="225"/>
        <v>0</v>
      </c>
      <c r="AO626" s="3">
        <f t="shared" si="226"/>
        <v>9.1511424670897714</v>
      </c>
      <c r="AP626" s="1" t="str">
        <f>INDEX({"EAD";"EAD";"EAD";"EAD MOOC";"EAD";"EAD";"EAD FP";"EAD";"PRESENCIAL";"PRESENCIAL";"PRESENCIAL";"PRESENCIAL"}, MATCH(CONCATENATE(E626, ".", F626),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27" spans="1:42" x14ac:dyDescent="0.25">
      <c r="A627" s="1" t="s">
        <v>27</v>
      </c>
      <c r="B627" s="1" t="s">
        <v>43</v>
      </c>
      <c r="C627" s="1" t="s">
        <v>29</v>
      </c>
      <c r="D627" s="1" t="s">
        <v>44</v>
      </c>
      <c r="E627" s="1" t="s">
        <v>120</v>
      </c>
      <c r="F627" s="1" t="s">
        <v>21</v>
      </c>
      <c r="G627" s="1" t="s">
        <v>128</v>
      </c>
      <c r="H627" s="1" t="s">
        <v>845</v>
      </c>
      <c r="I627" s="1" t="s">
        <v>503</v>
      </c>
      <c r="J627" s="1" t="s">
        <v>125</v>
      </c>
      <c r="K627" s="1" t="s">
        <v>130</v>
      </c>
      <c r="L627" s="1">
        <v>3137777</v>
      </c>
      <c r="M627" s="1" t="s">
        <v>846</v>
      </c>
      <c r="N627" s="5">
        <f>DATE(2024,6,1)</f>
        <v>45444</v>
      </c>
      <c r="O627" s="5">
        <f>DATE(2026,12,31)</f>
        <v>46387</v>
      </c>
      <c r="P627" s="5">
        <f t="shared" si="207"/>
        <v>47482</v>
      </c>
      <c r="Q627" s="1">
        <v>3672</v>
      </c>
      <c r="R627" s="1">
        <v>1200</v>
      </c>
      <c r="S627" s="1">
        <f t="shared" si="208"/>
        <v>3200</v>
      </c>
      <c r="T627" s="1">
        <v>2.5</v>
      </c>
      <c r="U627" s="1" t="str">
        <f t="shared" si="209"/>
        <v>SIM</v>
      </c>
      <c r="V627" s="1">
        <f t="shared" si="210"/>
        <v>944</v>
      </c>
      <c r="W627" s="4">
        <f t="shared" si="211"/>
        <v>3.3898305084745761</v>
      </c>
      <c r="X627" s="4">
        <f t="shared" si="212"/>
        <v>1237.2881355932202</v>
      </c>
      <c r="Y627" s="4">
        <f t="shared" si="213"/>
        <v>1.5466101694915253</v>
      </c>
      <c r="AB627" s="5">
        <f t="shared" si="214"/>
        <v>45292</v>
      </c>
      <c r="AC627" s="5">
        <f t="shared" si="215"/>
        <v>45657</v>
      </c>
      <c r="AD627" s="1">
        <v>1</v>
      </c>
      <c r="AE627" s="1">
        <f t="shared" si="216"/>
        <v>0</v>
      </c>
      <c r="AF627" s="1">
        <f t="shared" si="217"/>
        <v>214</v>
      </c>
      <c r="AG627" s="1">
        <f t="shared" si="218"/>
        <v>0</v>
      </c>
      <c r="AH627" s="1">
        <f t="shared" si="219"/>
        <v>0</v>
      </c>
      <c r="AI627" s="1">
        <f t="shared" si="220"/>
        <v>0</v>
      </c>
      <c r="AJ627" s="3">
        <f t="shared" si="221"/>
        <v>0.58469945355191255</v>
      </c>
      <c r="AK627" s="3">
        <f t="shared" si="222"/>
        <v>0.90430212095952567</v>
      </c>
      <c r="AL627" s="3">
        <f t="shared" si="223"/>
        <v>0.90430212095952567</v>
      </c>
      <c r="AM627" s="3">
        <f t="shared" si="224"/>
        <v>2.2607553023988141</v>
      </c>
      <c r="AN627" s="3">
        <f t="shared" si="225"/>
        <v>0</v>
      </c>
      <c r="AO627" s="3">
        <f t="shared" si="226"/>
        <v>2.2607553023988141</v>
      </c>
      <c r="AP627" s="1" t="str">
        <f>INDEX({"EAD";"EAD";"EAD";"EAD MOOC";"EAD";"EAD";"EAD FP";"EAD";"PRESENCIAL";"PRESENCIAL";"PRESENCIAL";"PRESENCIAL"}, MATCH(CONCATENATE(E627, ".", F627),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28" spans="1:42" x14ac:dyDescent="0.25">
      <c r="A628" s="1" t="s">
        <v>27</v>
      </c>
      <c r="B628" s="1" t="s">
        <v>43</v>
      </c>
      <c r="C628" s="1" t="s">
        <v>29</v>
      </c>
      <c r="D628" s="1" t="s">
        <v>44</v>
      </c>
      <c r="E628" s="1" t="s">
        <v>120</v>
      </c>
      <c r="F628" s="1" t="s">
        <v>21</v>
      </c>
      <c r="G628" s="1" t="s">
        <v>128</v>
      </c>
      <c r="H628" s="1" t="s">
        <v>586</v>
      </c>
      <c r="I628" s="1" t="s">
        <v>503</v>
      </c>
      <c r="J628" s="1" t="s">
        <v>125</v>
      </c>
      <c r="K628" s="1" t="s">
        <v>163</v>
      </c>
      <c r="L628" s="1">
        <v>3151192</v>
      </c>
      <c r="M628" s="1" t="s">
        <v>847</v>
      </c>
      <c r="N628" s="5">
        <f t="shared" ref="N628:N641" si="230">DATE(2024,9,24)</f>
        <v>45559</v>
      </c>
      <c r="O628" s="5">
        <f>DATE(2026,12,31)</f>
        <v>46387</v>
      </c>
      <c r="P628" s="5">
        <f t="shared" si="207"/>
        <v>47482</v>
      </c>
      <c r="Q628" s="1">
        <v>1703</v>
      </c>
      <c r="R628" s="1">
        <v>1200</v>
      </c>
      <c r="S628" s="1">
        <f t="shared" si="208"/>
        <v>1200</v>
      </c>
      <c r="T628" s="1">
        <v>2.5</v>
      </c>
      <c r="U628" s="1" t="str">
        <f t="shared" si="209"/>
        <v>SIM</v>
      </c>
      <c r="V628" s="1">
        <f t="shared" si="210"/>
        <v>829</v>
      </c>
      <c r="W628" s="4">
        <f t="shared" si="211"/>
        <v>1.4475271411338964</v>
      </c>
      <c r="X628" s="4">
        <f t="shared" si="212"/>
        <v>528.34740651387222</v>
      </c>
      <c r="Y628" s="4">
        <f t="shared" si="213"/>
        <v>0.66043425814234025</v>
      </c>
      <c r="AB628" s="5">
        <f t="shared" si="214"/>
        <v>45292</v>
      </c>
      <c r="AC628" s="5">
        <f t="shared" si="215"/>
        <v>45657</v>
      </c>
      <c r="AD628" s="1">
        <v>24</v>
      </c>
      <c r="AE628" s="1">
        <f t="shared" si="216"/>
        <v>0</v>
      </c>
      <c r="AF628" s="1">
        <f t="shared" si="217"/>
        <v>99</v>
      </c>
      <c r="AG628" s="1">
        <f t="shared" si="218"/>
        <v>0</v>
      </c>
      <c r="AH628" s="1">
        <f t="shared" si="219"/>
        <v>0</v>
      </c>
      <c r="AI628" s="1">
        <f t="shared" si="220"/>
        <v>0</v>
      </c>
      <c r="AJ628" s="3">
        <f t="shared" si="221"/>
        <v>0.27049180327868855</v>
      </c>
      <c r="AK628" s="3">
        <f t="shared" si="222"/>
        <v>0.1786420534319445</v>
      </c>
      <c r="AL628" s="3">
        <f t="shared" si="223"/>
        <v>4.2874092823666681</v>
      </c>
      <c r="AM628" s="3">
        <f t="shared" si="224"/>
        <v>10.71852320591667</v>
      </c>
      <c r="AN628" s="3">
        <f t="shared" si="225"/>
        <v>0</v>
      </c>
      <c r="AO628" s="3">
        <f t="shared" si="226"/>
        <v>10.71852320591667</v>
      </c>
      <c r="AP628" s="1" t="str">
        <f>INDEX({"EAD";"EAD";"EAD";"EAD MOOC";"EAD";"EAD";"EAD FP";"EAD";"PRESENCIAL";"PRESENCIAL";"PRESENCIAL";"PRESENCIAL"}, MATCH(CONCATENATE(E628, ".", F628),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29" spans="1:42" x14ac:dyDescent="0.25">
      <c r="A629" s="1" t="s">
        <v>27</v>
      </c>
      <c r="B629" s="1" t="s">
        <v>43</v>
      </c>
      <c r="C629" s="1" t="s">
        <v>29</v>
      </c>
      <c r="D629" s="1" t="s">
        <v>44</v>
      </c>
      <c r="E629" s="1" t="s">
        <v>120</v>
      </c>
      <c r="F629" s="1" t="s">
        <v>21</v>
      </c>
      <c r="G629" s="1" t="s">
        <v>128</v>
      </c>
      <c r="H629" s="1" t="s">
        <v>526</v>
      </c>
      <c r="I629" s="1" t="s">
        <v>503</v>
      </c>
      <c r="J629" s="1" t="s">
        <v>125</v>
      </c>
      <c r="K629" s="1" t="s">
        <v>163</v>
      </c>
      <c r="L629" s="1">
        <v>3151205</v>
      </c>
      <c r="M629" s="1" t="s">
        <v>848</v>
      </c>
      <c r="N629" s="5">
        <f t="shared" si="230"/>
        <v>45559</v>
      </c>
      <c r="O629" s="5">
        <f>DATE(2026,12,31)</f>
        <v>46387</v>
      </c>
      <c r="P629" s="5">
        <f t="shared" si="207"/>
        <v>47482</v>
      </c>
      <c r="Q629" s="1">
        <v>1707</v>
      </c>
      <c r="R629" s="1">
        <v>1200</v>
      </c>
      <c r="S629" s="1">
        <f t="shared" si="208"/>
        <v>1200</v>
      </c>
      <c r="T629" s="1">
        <v>2.5</v>
      </c>
      <c r="U629" s="1" t="str">
        <f t="shared" si="209"/>
        <v>SIM</v>
      </c>
      <c r="V629" s="1">
        <f t="shared" si="210"/>
        <v>829</v>
      </c>
      <c r="W629" s="4">
        <f t="shared" si="211"/>
        <v>1.4475271411338964</v>
      </c>
      <c r="X629" s="4">
        <f t="shared" si="212"/>
        <v>528.34740651387222</v>
      </c>
      <c r="Y629" s="4">
        <f t="shared" si="213"/>
        <v>0.66043425814234025</v>
      </c>
      <c r="AB629" s="5">
        <f t="shared" si="214"/>
        <v>45292</v>
      </c>
      <c r="AC629" s="5">
        <f t="shared" si="215"/>
        <v>45657</v>
      </c>
      <c r="AD629" s="1">
        <v>25</v>
      </c>
      <c r="AE629" s="1">
        <f t="shared" si="216"/>
        <v>0</v>
      </c>
      <c r="AF629" s="1">
        <f t="shared" si="217"/>
        <v>99</v>
      </c>
      <c r="AG629" s="1">
        <f t="shared" si="218"/>
        <v>0</v>
      </c>
      <c r="AH629" s="1">
        <f t="shared" si="219"/>
        <v>0</v>
      </c>
      <c r="AI629" s="1">
        <f t="shared" si="220"/>
        <v>0</v>
      </c>
      <c r="AJ629" s="3">
        <f t="shared" si="221"/>
        <v>0.27049180327868855</v>
      </c>
      <c r="AK629" s="3">
        <f t="shared" si="222"/>
        <v>0.1786420534319445</v>
      </c>
      <c r="AL629" s="3">
        <f t="shared" si="223"/>
        <v>4.4660513357986122</v>
      </c>
      <c r="AM629" s="3">
        <f t="shared" si="224"/>
        <v>11.16512833949653</v>
      </c>
      <c r="AN629" s="3">
        <f t="shared" si="225"/>
        <v>0</v>
      </c>
      <c r="AO629" s="3">
        <f t="shared" si="226"/>
        <v>11.16512833949653</v>
      </c>
      <c r="AP629" s="1" t="str">
        <f>INDEX({"EAD";"EAD";"EAD";"EAD MOOC";"EAD";"EAD";"EAD FP";"EAD";"PRESENCIAL";"PRESENCIAL";"PRESENCIAL";"PRESENCIAL"}, MATCH(CONCATENATE(E629, ".", F629),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30" spans="1:42" x14ac:dyDescent="0.25">
      <c r="A630" s="1" t="s">
        <v>27</v>
      </c>
      <c r="B630" s="1" t="s">
        <v>43</v>
      </c>
      <c r="C630" s="1" t="s">
        <v>29</v>
      </c>
      <c r="D630" s="1" t="s">
        <v>44</v>
      </c>
      <c r="E630" s="1" t="s">
        <v>120</v>
      </c>
      <c r="F630" s="1" t="s">
        <v>21</v>
      </c>
      <c r="G630" s="1" t="s">
        <v>128</v>
      </c>
      <c r="H630" s="1" t="s">
        <v>582</v>
      </c>
      <c r="I630" s="1" t="s">
        <v>289</v>
      </c>
      <c r="J630" s="1" t="s">
        <v>125</v>
      </c>
      <c r="K630" s="1" t="s">
        <v>163</v>
      </c>
      <c r="L630" s="1">
        <v>3151208</v>
      </c>
      <c r="M630" s="1" t="s">
        <v>849</v>
      </c>
      <c r="N630" s="5">
        <f t="shared" si="230"/>
        <v>45559</v>
      </c>
      <c r="O630" s="5">
        <f>DATE(2026,12,31)</f>
        <v>46387</v>
      </c>
      <c r="P630" s="5">
        <f t="shared" si="207"/>
        <v>47482</v>
      </c>
      <c r="Q630" s="1">
        <v>1258</v>
      </c>
      <c r="R630" s="1">
        <v>1200</v>
      </c>
      <c r="S630" s="1">
        <f t="shared" si="208"/>
        <v>1200</v>
      </c>
      <c r="T630" s="1">
        <v>2.5</v>
      </c>
      <c r="U630" s="1" t="str">
        <f t="shared" si="209"/>
        <v>SIM</v>
      </c>
      <c r="V630" s="1">
        <f t="shared" si="210"/>
        <v>829</v>
      </c>
      <c r="W630" s="4">
        <f t="shared" si="211"/>
        <v>1.4475271411338964</v>
      </c>
      <c r="X630" s="4">
        <f t="shared" si="212"/>
        <v>528.34740651387222</v>
      </c>
      <c r="Y630" s="4">
        <f t="shared" si="213"/>
        <v>0.66043425814234025</v>
      </c>
      <c r="AB630" s="5">
        <f t="shared" si="214"/>
        <v>45292</v>
      </c>
      <c r="AC630" s="5">
        <f t="shared" si="215"/>
        <v>45657</v>
      </c>
      <c r="AD630" s="1">
        <v>19</v>
      </c>
      <c r="AE630" s="1">
        <f t="shared" si="216"/>
        <v>0</v>
      </c>
      <c r="AF630" s="1">
        <f t="shared" si="217"/>
        <v>99</v>
      </c>
      <c r="AG630" s="1">
        <f t="shared" si="218"/>
        <v>0</v>
      </c>
      <c r="AH630" s="1">
        <f t="shared" si="219"/>
        <v>0</v>
      </c>
      <c r="AI630" s="1">
        <f t="shared" si="220"/>
        <v>0</v>
      </c>
      <c r="AJ630" s="3">
        <f t="shared" si="221"/>
        <v>0.27049180327868855</v>
      </c>
      <c r="AK630" s="3">
        <f t="shared" si="222"/>
        <v>0.1786420534319445</v>
      </c>
      <c r="AL630" s="3">
        <f t="shared" si="223"/>
        <v>3.3941990152069454</v>
      </c>
      <c r="AM630" s="3">
        <f t="shared" si="224"/>
        <v>8.4854975380173627</v>
      </c>
      <c r="AN630" s="3">
        <f t="shared" si="225"/>
        <v>0</v>
      </c>
      <c r="AO630" s="3">
        <f t="shared" si="226"/>
        <v>8.4854975380173627</v>
      </c>
      <c r="AP630" s="1" t="str">
        <f>INDEX({"EAD";"EAD";"EAD";"EAD MOOC";"EAD";"EAD";"EAD FP";"EAD";"PRESENCIAL";"PRESENCIAL";"PRESENCIAL";"PRESENCIAL"}, MATCH(CONCATENATE(E630, ".", F630),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31" spans="1:42" x14ac:dyDescent="0.25">
      <c r="A631" s="1" t="s">
        <v>27</v>
      </c>
      <c r="B631" s="1" t="s">
        <v>43</v>
      </c>
      <c r="C631" s="1" t="s">
        <v>29</v>
      </c>
      <c r="D631" s="1" t="s">
        <v>44</v>
      </c>
      <c r="E631" s="1" t="s">
        <v>120</v>
      </c>
      <c r="F631" s="1" t="s">
        <v>21</v>
      </c>
      <c r="G631" s="1" t="s">
        <v>128</v>
      </c>
      <c r="H631" s="1" t="s">
        <v>559</v>
      </c>
      <c r="I631" s="1" t="s">
        <v>289</v>
      </c>
      <c r="J631" s="1" t="s">
        <v>125</v>
      </c>
      <c r="K631" s="1" t="s">
        <v>163</v>
      </c>
      <c r="L631" s="1">
        <v>3151212</v>
      </c>
      <c r="M631" s="1" t="s">
        <v>850</v>
      </c>
      <c r="N631" s="5">
        <f t="shared" si="230"/>
        <v>45559</v>
      </c>
      <c r="O631" s="5">
        <f>DATE(2026,12,31)</f>
        <v>46387</v>
      </c>
      <c r="P631" s="5">
        <f t="shared" si="207"/>
        <v>47482</v>
      </c>
      <c r="Q631" s="1">
        <v>1360</v>
      </c>
      <c r="R631" s="1">
        <v>1200</v>
      </c>
      <c r="S631" s="1">
        <f t="shared" si="208"/>
        <v>1200</v>
      </c>
      <c r="T631" s="1">
        <v>2.5</v>
      </c>
      <c r="U631" s="1" t="str">
        <f t="shared" si="209"/>
        <v>SIM</v>
      </c>
      <c r="V631" s="1">
        <f t="shared" si="210"/>
        <v>829</v>
      </c>
      <c r="W631" s="4">
        <f t="shared" si="211"/>
        <v>1.4475271411338964</v>
      </c>
      <c r="X631" s="4">
        <f t="shared" si="212"/>
        <v>528.34740651387222</v>
      </c>
      <c r="Y631" s="4">
        <f t="shared" si="213"/>
        <v>0.66043425814234025</v>
      </c>
      <c r="AB631" s="5">
        <f t="shared" si="214"/>
        <v>45292</v>
      </c>
      <c r="AC631" s="5">
        <f t="shared" si="215"/>
        <v>45657</v>
      </c>
      <c r="AD631" s="1">
        <v>22</v>
      </c>
      <c r="AE631" s="1">
        <f t="shared" si="216"/>
        <v>0</v>
      </c>
      <c r="AF631" s="1">
        <f t="shared" si="217"/>
        <v>99</v>
      </c>
      <c r="AG631" s="1">
        <f t="shared" si="218"/>
        <v>0</v>
      </c>
      <c r="AH631" s="1">
        <f t="shared" si="219"/>
        <v>0</v>
      </c>
      <c r="AI631" s="1">
        <f t="shared" si="220"/>
        <v>0</v>
      </c>
      <c r="AJ631" s="3">
        <f t="shared" si="221"/>
        <v>0.27049180327868855</v>
      </c>
      <c r="AK631" s="3">
        <f t="shared" si="222"/>
        <v>0.1786420534319445</v>
      </c>
      <c r="AL631" s="3">
        <f t="shared" si="223"/>
        <v>3.9301251755027788</v>
      </c>
      <c r="AM631" s="3">
        <f t="shared" si="224"/>
        <v>9.825312938756948</v>
      </c>
      <c r="AN631" s="3">
        <f t="shared" si="225"/>
        <v>0</v>
      </c>
      <c r="AO631" s="3">
        <f t="shared" si="226"/>
        <v>9.825312938756948</v>
      </c>
      <c r="AP631" s="1" t="str">
        <f>INDEX({"EAD";"EAD";"EAD";"EAD MOOC";"EAD";"EAD";"EAD FP";"EAD";"PRESENCIAL";"PRESENCIAL";"PRESENCIAL";"PRESENCIAL"}, MATCH(CONCATENATE(E631, ".", F631),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32" spans="1:42" x14ac:dyDescent="0.25">
      <c r="A632" s="1" t="s">
        <v>27</v>
      </c>
      <c r="B632" s="1" t="s">
        <v>43</v>
      </c>
      <c r="C632" s="1" t="s">
        <v>29</v>
      </c>
      <c r="D632" s="1" t="s">
        <v>44</v>
      </c>
      <c r="E632" s="1" t="s">
        <v>120</v>
      </c>
      <c r="F632" s="1" t="s">
        <v>21</v>
      </c>
      <c r="G632" s="1" t="s">
        <v>121</v>
      </c>
      <c r="H632" s="1" t="s">
        <v>806</v>
      </c>
      <c r="I632" s="1" t="s">
        <v>289</v>
      </c>
      <c r="J632" s="1" t="s">
        <v>125</v>
      </c>
      <c r="K632" s="1" t="s">
        <v>109</v>
      </c>
      <c r="L632" s="1">
        <v>3151216</v>
      </c>
      <c r="M632" s="1" t="s">
        <v>851</v>
      </c>
      <c r="N632" s="5">
        <f t="shared" si="230"/>
        <v>45559</v>
      </c>
      <c r="O632" s="5">
        <f>DATE(2029,12,31)</f>
        <v>47483</v>
      </c>
      <c r="P632" s="5">
        <f t="shared" si="207"/>
        <v>48578</v>
      </c>
      <c r="Q632" s="1">
        <v>3780</v>
      </c>
      <c r="R632" s="1">
        <v>3600</v>
      </c>
      <c r="S632" s="1">
        <f t="shared" si="208"/>
        <v>3600</v>
      </c>
      <c r="T632" s="1">
        <v>2.5</v>
      </c>
      <c r="U632" s="1" t="str">
        <f t="shared" si="209"/>
        <v>SIM</v>
      </c>
      <c r="V632" s="1">
        <f t="shared" si="210"/>
        <v>1925</v>
      </c>
      <c r="W632" s="4">
        <f t="shared" si="211"/>
        <v>1.8701298701298701</v>
      </c>
      <c r="X632" s="4">
        <f t="shared" si="212"/>
        <v>682.59740259740261</v>
      </c>
      <c r="Y632" s="4">
        <f t="shared" si="213"/>
        <v>0.85324675324675325</v>
      </c>
      <c r="AB632" s="5">
        <f t="shared" si="214"/>
        <v>45292</v>
      </c>
      <c r="AC632" s="5">
        <f t="shared" si="215"/>
        <v>45657</v>
      </c>
      <c r="AD632" s="1">
        <v>42</v>
      </c>
      <c r="AE632" s="1">
        <f t="shared" si="216"/>
        <v>0</v>
      </c>
      <c r="AF632" s="1">
        <f t="shared" si="217"/>
        <v>99</v>
      </c>
      <c r="AG632" s="1">
        <f t="shared" si="218"/>
        <v>0</v>
      </c>
      <c r="AH632" s="1">
        <f t="shared" si="219"/>
        <v>0</v>
      </c>
      <c r="AI632" s="1">
        <f t="shared" si="220"/>
        <v>0</v>
      </c>
      <c r="AJ632" s="3">
        <f t="shared" si="221"/>
        <v>0.27049180327868855</v>
      </c>
      <c r="AK632" s="3">
        <f t="shared" si="222"/>
        <v>0.2307962529274005</v>
      </c>
      <c r="AL632" s="3">
        <f t="shared" si="223"/>
        <v>9.6934426229508208</v>
      </c>
      <c r="AM632" s="3">
        <f t="shared" si="224"/>
        <v>24.233606557377051</v>
      </c>
      <c r="AN632" s="3">
        <f t="shared" si="225"/>
        <v>0</v>
      </c>
      <c r="AO632" s="3">
        <f t="shared" si="226"/>
        <v>24.233606557377051</v>
      </c>
      <c r="AP632" s="1" t="str">
        <f>INDEX({"EAD";"EAD";"EAD";"EAD MOOC";"EAD";"EAD";"EAD FP";"EAD";"PRESENCIAL";"PRESENCIAL";"PRESENCIAL";"PRESENCIAL"}, MATCH(CONCATENATE(E632, ".", F632),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33" spans="1:42" x14ac:dyDescent="0.25">
      <c r="A633" s="1" t="s">
        <v>27</v>
      </c>
      <c r="B633" s="1" t="s">
        <v>43</v>
      </c>
      <c r="C633" s="1" t="s">
        <v>29</v>
      </c>
      <c r="D633" s="1" t="s">
        <v>44</v>
      </c>
      <c r="E633" s="1" t="s">
        <v>120</v>
      </c>
      <c r="F633" s="1" t="s">
        <v>21</v>
      </c>
      <c r="G633" s="1" t="s">
        <v>121</v>
      </c>
      <c r="H633" s="1" t="s">
        <v>506</v>
      </c>
      <c r="I633" s="1" t="s">
        <v>209</v>
      </c>
      <c r="J633" s="1" t="s">
        <v>125</v>
      </c>
      <c r="K633" s="1" t="s">
        <v>109</v>
      </c>
      <c r="L633" s="1">
        <v>3151221</v>
      </c>
      <c r="M633" s="1" t="s">
        <v>852</v>
      </c>
      <c r="N633" s="5">
        <f t="shared" si="230"/>
        <v>45559</v>
      </c>
      <c r="O633" s="5">
        <f>DATE(2029,12,31)</f>
        <v>47483</v>
      </c>
      <c r="P633" s="5">
        <f t="shared" si="207"/>
        <v>48578</v>
      </c>
      <c r="Q633" s="1">
        <v>3448</v>
      </c>
      <c r="R633" s="1">
        <v>3200</v>
      </c>
      <c r="S633" s="1">
        <f t="shared" si="208"/>
        <v>3200</v>
      </c>
      <c r="T633" s="1">
        <v>2.5</v>
      </c>
      <c r="U633" s="1" t="str">
        <f t="shared" si="209"/>
        <v>SIM</v>
      </c>
      <c r="V633" s="1">
        <f t="shared" si="210"/>
        <v>1925</v>
      </c>
      <c r="W633" s="4">
        <f t="shared" si="211"/>
        <v>1.6623376623376624</v>
      </c>
      <c r="X633" s="4">
        <f t="shared" si="212"/>
        <v>606.7532467532468</v>
      </c>
      <c r="Y633" s="4">
        <f t="shared" si="213"/>
        <v>0.75844155844155847</v>
      </c>
      <c r="AB633" s="5">
        <f t="shared" si="214"/>
        <v>45292</v>
      </c>
      <c r="AC633" s="5">
        <f t="shared" si="215"/>
        <v>45657</v>
      </c>
      <c r="AD633" s="1">
        <v>42</v>
      </c>
      <c r="AE633" s="1">
        <f t="shared" si="216"/>
        <v>0</v>
      </c>
      <c r="AF633" s="1">
        <f t="shared" si="217"/>
        <v>99</v>
      </c>
      <c r="AG633" s="1">
        <f t="shared" si="218"/>
        <v>0</v>
      </c>
      <c r="AH633" s="1">
        <f t="shared" si="219"/>
        <v>0</v>
      </c>
      <c r="AI633" s="1">
        <f t="shared" si="220"/>
        <v>0</v>
      </c>
      <c r="AJ633" s="3">
        <f t="shared" si="221"/>
        <v>0.27049180327868855</v>
      </c>
      <c r="AK633" s="3">
        <f t="shared" si="222"/>
        <v>0.20515222482435599</v>
      </c>
      <c r="AL633" s="3">
        <f t="shared" si="223"/>
        <v>8.616393442622952</v>
      </c>
      <c r="AM633" s="3">
        <f t="shared" si="224"/>
        <v>21.540983606557379</v>
      </c>
      <c r="AN633" s="3">
        <f t="shared" si="225"/>
        <v>0</v>
      </c>
      <c r="AO633" s="3">
        <f t="shared" si="226"/>
        <v>21.540983606557379</v>
      </c>
      <c r="AP633" s="1" t="str">
        <f>INDEX({"EAD";"EAD";"EAD";"EAD MOOC";"EAD";"EAD";"EAD FP";"EAD";"PRESENCIAL";"PRESENCIAL";"PRESENCIAL";"PRESENCIAL"}, MATCH(CONCATENATE(E633, ".", F633),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34" spans="1:42" x14ac:dyDescent="0.25">
      <c r="A634" s="1" t="s">
        <v>27</v>
      </c>
      <c r="B634" s="1" t="s">
        <v>43</v>
      </c>
      <c r="C634" s="1" t="s">
        <v>29</v>
      </c>
      <c r="D634" s="1" t="s">
        <v>44</v>
      </c>
      <c r="E634" s="1" t="s">
        <v>120</v>
      </c>
      <c r="F634" s="1" t="s">
        <v>21</v>
      </c>
      <c r="G634" s="1" t="s">
        <v>121</v>
      </c>
      <c r="H634" s="1" t="s">
        <v>508</v>
      </c>
      <c r="I634" s="1" t="s">
        <v>503</v>
      </c>
      <c r="J634" s="1" t="s">
        <v>125</v>
      </c>
      <c r="K634" s="1" t="s">
        <v>109</v>
      </c>
      <c r="L634" s="1">
        <v>3151237</v>
      </c>
      <c r="M634" s="1" t="s">
        <v>853</v>
      </c>
      <c r="N634" s="5">
        <f t="shared" si="230"/>
        <v>45559</v>
      </c>
      <c r="O634" s="5">
        <f>DATE(2029,12,31)</f>
        <v>47483</v>
      </c>
      <c r="P634" s="5">
        <f t="shared" si="207"/>
        <v>48578</v>
      </c>
      <c r="Q634" s="1">
        <v>3716</v>
      </c>
      <c r="R634" s="1">
        <v>3600</v>
      </c>
      <c r="S634" s="1">
        <f t="shared" si="208"/>
        <v>3600</v>
      </c>
      <c r="T634" s="1">
        <v>2.5</v>
      </c>
      <c r="U634" s="1" t="str">
        <f t="shared" si="209"/>
        <v>SIM</v>
      </c>
      <c r="V634" s="1">
        <f t="shared" si="210"/>
        <v>1925</v>
      </c>
      <c r="W634" s="4">
        <f t="shared" si="211"/>
        <v>1.8701298701298701</v>
      </c>
      <c r="X634" s="4">
        <f t="shared" si="212"/>
        <v>682.59740259740261</v>
      </c>
      <c r="Y634" s="4">
        <f t="shared" si="213"/>
        <v>0.85324675324675325</v>
      </c>
      <c r="AB634" s="5">
        <f t="shared" si="214"/>
        <v>45292</v>
      </c>
      <c r="AC634" s="5">
        <f t="shared" si="215"/>
        <v>45657</v>
      </c>
      <c r="AD634" s="1">
        <v>16</v>
      </c>
      <c r="AE634" s="1">
        <f t="shared" si="216"/>
        <v>0</v>
      </c>
      <c r="AF634" s="1">
        <f t="shared" si="217"/>
        <v>99</v>
      </c>
      <c r="AG634" s="1">
        <f t="shared" si="218"/>
        <v>0</v>
      </c>
      <c r="AH634" s="1">
        <f t="shared" si="219"/>
        <v>0</v>
      </c>
      <c r="AI634" s="1">
        <f t="shared" si="220"/>
        <v>0</v>
      </c>
      <c r="AJ634" s="3">
        <f t="shared" si="221"/>
        <v>0.27049180327868855</v>
      </c>
      <c r="AK634" s="3">
        <f t="shared" si="222"/>
        <v>0.2307962529274005</v>
      </c>
      <c r="AL634" s="3">
        <f t="shared" si="223"/>
        <v>3.692740046838408</v>
      </c>
      <c r="AM634" s="3">
        <f t="shared" si="224"/>
        <v>9.2318501170960197</v>
      </c>
      <c r="AN634" s="3">
        <f t="shared" si="225"/>
        <v>0</v>
      </c>
      <c r="AO634" s="3">
        <f t="shared" si="226"/>
        <v>9.2318501170960197</v>
      </c>
      <c r="AP634" s="1" t="str">
        <f>INDEX({"EAD";"EAD";"EAD";"EAD MOOC";"EAD";"EAD";"EAD FP";"EAD";"PRESENCIAL";"PRESENCIAL";"PRESENCIAL";"PRESENCIAL"}, MATCH(CONCATENATE(E634, ".", F634),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35" spans="1:42" x14ac:dyDescent="0.25">
      <c r="A635" s="1" t="s">
        <v>27</v>
      </c>
      <c r="B635" s="1" t="s">
        <v>43</v>
      </c>
      <c r="C635" s="1" t="s">
        <v>29</v>
      </c>
      <c r="D635" s="1" t="s">
        <v>44</v>
      </c>
      <c r="E635" s="1" t="s">
        <v>120</v>
      </c>
      <c r="F635" s="1" t="s">
        <v>21</v>
      </c>
      <c r="G635" s="1" t="s">
        <v>121</v>
      </c>
      <c r="H635" s="1" t="s">
        <v>662</v>
      </c>
      <c r="I635" s="1" t="s">
        <v>503</v>
      </c>
      <c r="J635" s="1" t="s">
        <v>125</v>
      </c>
      <c r="K635" s="1" t="s">
        <v>109</v>
      </c>
      <c r="L635" s="1">
        <v>3151240</v>
      </c>
      <c r="M635" s="1" t="s">
        <v>854</v>
      </c>
      <c r="N635" s="5">
        <f t="shared" si="230"/>
        <v>45559</v>
      </c>
      <c r="O635" s="5">
        <f>DATE(2029,12,31)</f>
        <v>47483</v>
      </c>
      <c r="P635" s="5">
        <f t="shared" si="207"/>
        <v>48578</v>
      </c>
      <c r="Q635" s="1">
        <v>3662</v>
      </c>
      <c r="R635" s="1">
        <v>3600</v>
      </c>
      <c r="S635" s="1">
        <f t="shared" si="208"/>
        <v>3600</v>
      </c>
      <c r="T635" s="1">
        <v>2.5</v>
      </c>
      <c r="U635" s="1" t="str">
        <f t="shared" si="209"/>
        <v>SIM</v>
      </c>
      <c r="V635" s="1">
        <f t="shared" si="210"/>
        <v>1925</v>
      </c>
      <c r="W635" s="4">
        <f t="shared" si="211"/>
        <v>1.8701298701298701</v>
      </c>
      <c r="X635" s="4">
        <f t="shared" si="212"/>
        <v>682.59740259740261</v>
      </c>
      <c r="Y635" s="4">
        <f t="shared" si="213"/>
        <v>0.85324675324675325</v>
      </c>
      <c r="AB635" s="5">
        <f t="shared" si="214"/>
        <v>45292</v>
      </c>
      <c r="AC635" s="5">
        <f t="shared" si="215"/>
        <v>45657</v>
      </c>
      <c r="AD635" s="1">
        <v>38</v>
      </c>
      <c r="AE635" s="1">
        <f t="shared" si="216"/>
        <v>0</v>
      </c>
      <c r="AF635" s="1">
        <f t="shared" si="217"/>
        <v>99</v>
      </c>
      <c r="AG635" s="1">
        <f t="shared" si="218"/>
        <v>0</v>
      </c>
      <c r="AH635" s="1">
        <f t="shared" si="219"/>
        <v>0</v>
      </c>
      <c r="AI635" s="1">
        <f t="shared" si="220"/>
        <v>0</v>
      </c>
      <c r="AJ635" s="3">
        <f t="shared" si="221"/>
        <v>0.27049180327868855</v>
      </c>
      <c r="AK635" s="3">
        <f t="shared" si="222"/>
        <v>0.2307962529274005</v>
      </c>
      <c r="AL635" s="3">
        <f t="shared" si="223"/>
        <v>8.7702576112412185</v>
      </c>
      <c r="AM635" s="3">
        <f t="shared" si="224"/>
        <v>21.925644028103047</v>
      </c>
      <c r="AN635" s="3">
        <f t="shared" si="225"/>
        <v>0</v>
      </c>
      <c r="AO635" s="3">
        <f t="shared" si="226"/>
        <v>21.925644028103047</v>
      </c>
      <c r="AP635" s="1" t="str">
        <f>INDEX({"EAD";"EAD";"EAD";"EAD MOOC";"EAD";"EAD";"EAD FP";"EAD";"PRESENCIAL";"PRESENCIAL";"PRESENCIAL";"PRESENCIAL"}, MATCH(CONCATENATE(E635, ".", F635),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36" spans="1:42" x14ac:dyDescent="0.25">
      <c r="A636" s="1" t="s">
        <v>27</v>
      </c>
      <c r="B636" s="1" t="s">
        <v>43</v>
      </c>
      <c r="C636" s="1" t="s">
        <v>29</v>
      </c>
      <c r="D636" s="1" t="s">
        <v>44</v>
      </c>
      <c r="E636" s="1" t="s">
        <v>120</v>
      </c>
      <c r="F636" s="1" t="s">
        <v>21</v>
      </c>
      <c r="G636" s="1" t="s">
        <v>121</v>
      </c>
      <c r="H636" s="1" t="s">
        <v>495</v>
      </c>
      <c r="I636" s="1" t="s">
        <v>124</v>
      </c>
      <c r="J636" s="1" t="s">
        <v>125</v>
      </c>
      <c r="K636" s="1" t="s">
        <v>109</v>
      </c>
      <c r="L636" s="1">
        <v>3151250</v>
      </c>
      <c r="M636" s="1" t="s">
        <v>855</v>
      </c>
      <c r="N636" s="5">
        <f t="shared" si="230"/>
        <v>45559</v>
      </c>
      <c r="O636" s="5">
        <f>DATE(2027,12,31)</f>
        <v>46752</v>
      </c>
      <c r="P636" s="5">
        <f t="shared" si="207"/>
        <v>47847</v>
      </c>
      <c r="Q636" s="1">
        <v>2496</v>
      </c>
      <c r="R636" s="1">
        <v>2400</v>
      </c>
      <c r="S636" s="1">
        <f t="shared" si="208"/>
        <v>2400</v>
      </c>
      <c r="T636" s="1">
        <v>1</v>
      </c>
      <c r="U636" s="1" t="str">
        <f t="shared" si="209"/>
        <v>SIM</v>
      </c>
      <c r="V636" s="1">
        <f t="shared" si="210"/>
        <v>1194</v>
      </c>
      <c r="W636" s="4">
        <f t="shared" si="211"/>
        <v>2.0100502512562812</v>
      </c>
      <c r="X636" s="4">
        <f t="shared" si="212"/>
        <v>733.6683417085427</v>
      </c>
      <c r="Y636" s="4">
        <f t="shared" si="213"/>
        <v>0.91708542713567842</v>
      </c>
      <c r="AB636" s="5">
        <f t="shared" si="214"/>
        <v>45292</v>
      </c>
      <c r="AC636" s="5">
        <f t="shared" si="215"/>
        <v>45657</v>
      </c>
      <c r="AD636" s="1">
        <v>37</v>
      </c>
      <c r="AE636" s="1">
        <f t="shared" si="216"/>
        <v>0</v>
      </c>
      <c r="AF636" s="1">
        <f t="shared" si="217"/>
        <v>99</v>
      </c>
      <c r="AG636" s="1">
        <f t="shared" si="218"/>
        <v>0</v>
      </c>
      <c r="AH636" s="1">
        <f t="shared" si="219"/>
        <v>0</v>
      </c>
      <c r="AI636" s="1">
        <f t="shared" si="220"/>
        <v>0</v>
      </c>
      <c r="AJ636" s="3">
        <f t="shared" si="221"/>
        <v>0.27049180327868855</v>
      </c>
      <c r="AK636" s="3">
        <f t="shared" si="222"/>
        <v>0.24806409094653598</v>
      </c>
      <c r="AL636" s="3">
        <f t="shared" si="223"/>
        <v>9.1783713650218317</v>
      </c>
      <c r="AM636" s="3">
        <f t="shared" si="224"/>
        <v>9.1783713650218317</v>
      </c>
      <c r="AN636" s="3">
        <f t="shared" si="225"/>
        <v>0</v>
      </c>
      <c r="AO636" s="3">
        <f t="shared" si="226"/>
        <v>9.1783713650218317</v>
      </c>
      <c r="AP636" s="1" t="str">
        <f>INDEX({"EAD";"EAD";"EAD";"EAD MOOC";"EAD";"EAD";"EAD FP";"EAD";"PRESENCIAL";"PRESENCIAL";"PRESENCIAL";"PRESENCIAL"}, MATCH(CONCATENATE(E636, ".", F636),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37" spans="1:42" x14ac:dyDescent="0.25">
      <c r="A637" s="1" t="s">
        <v>27</v>
      </c>
      <c r="B637" s="1" t="s">
        <v>43</v>
      </c>
      <c r="C637" s="1" t="s">
        <v>29</v>
      </c>
      <c r="D637" s="1" t="s">
        <v>44</v>
      </c>
      <c r="E637" s="1" t="s">
        <v>120</v>
      </c>
      <c r="F637" s="1" t="s">
        <v>21</v>
      </c>
      <c r="G637" s="1" t="s">
        <v>121</v>
      </c>
      <c r="H637" s="1" t="s">
        <v>537</v>
      </c>
      <c r="I637" s="1" t="s">
        <v>187</v>
      </c>
      <c r="J637" s="1" t="s">
        <v>125</v>
      </c>
      <c r="K637" s="1" t="s">
        <v>109</v>
      </c>
      <c r="L637" s="1">
        <v>3151252</v>
      </c>
      <c r="M637" s="1" t="s">
        <v>856</v>
      </c>
      <c r="N637" s="5">
        <f t="shared" si="230"/>
        <v>45559</v>
      </c>
      <c r="O637" s="5">
        <f>DATE(2027,12,31)</f>
        <v>46752</v>
      </c>
      <c r="P637" s="5">
        <f t="shared" si="207"/>
        <v>47847</v>
      </c>
      <c r="Q637" s="1">
        <v>2400</v>
      </c>
      <c r="R637" s="1">
        <v>2400</v>
      </c>
      <c r="S637" s="1">
        <f t="shared" si="208"/>
        <v>2400</v>
      </c>
      <c r="T637" s="1">
        <v>1</v>
      </c>
      <c r="U637" s="1" t="str">
        <f t="shared" si="209"/>
        <v>SIM</v>
      </c>
      <c r="V637" s="1">
        <f t="shared" si="210"/>
        <v>1194</v>
      </c>
      <c r="W637" s="4">
        <f t="shared" si="211"/>
        <v>2.0100502512562812</v>
      </c>
      <c r="X637" s="4">
        <f t="shared" si="212"/>
        <v>733.6683417085427</v>
      </c>
      <c r="Y637" s="4">
        <f t="shared" si="213"/>
        <v>0.91708542713567842</v>
      </c>
      <c r="AB637" s="5">
        <f t="shared" si="214"/>
        <v>45292</v>
      </c>
      <c r="AC637" s="5">
        <f t="shared" si="215"/>
        <v>45657</v>
      </c>
      <c r="AD637" s="1">
        <v>16</v>
      </c>
      <c r="AE637" s="1">
        <f t="shared" si="216"/>
        <v>0</v>
      </c>
      <c r="AF637" s="1">
        <f t="shared" si="217"/>
        <v>99</v>
      </c>
      <c r="AG637" s="1">
        <f t="shared" si="218"/>
        <v>0</v>
      </c>
      <c r="AH637" s="1">
        <f t="shared" si="219"/>
        <v>0</v>
      </c>
      <c r="AI637" s="1">
        <f t="shared" si="220"/>
        <v>0</v>
      </c>
      <c r="AJ637" s="3">
        <f t="shared" si="221"/>
        <v>0.27049180327868855</v>
      </c>
      <c r="AK637" s="3">
        <f t="shared" si="222"/>
        <v>0.24806409094653598</v>
      </c>
      <c r="AL637" s="3">
        <f t="shared" si="223"/>
        <v>3.9690254551445756</v>
      </c>
      <c r="AM637" s="3">
        <f t="shared" si="224"/>
        <v>3.9690254551445756</v>
      </c>
      <c r="AN637" s="3">
        <f t="shared" si="225"/>
        <v>0</v>
      </c>
      <c r="AO637" s="3">
        <f t="shared" si="226"/>
        <v>3.9690254551445756</v>
      </c>
      <c r="AP637" s="1" t="str">
        <f>INDEX({"EAD";"EAD";"EAD";"EAD MOOC";"EAD";"EAD";"EAD FP";"EAD";"PRESENCIAL";"PRESENCIAL";"PRESENCIAL";"PRESENCIAL"}, MATCH(CONCATENATE(E637, ".", F637),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38" spans="1:42" x14ac:dyDescent="0.25">
      <c r="A638" s="1" t="s">
        <v>27</v>
      </c>
      <c r="B638" s="1" t="s">
        <v>43</v>
      </c>
      <c r="C638" s="1" t="s">
        <v>29</v>
      </c>
      <c r="D638" s="1" t="s">
        <v>44</v>
      </c>
      <c r="E638" s="1" t="s">
        <v>120</v>
      </c>
      <c r="F638" s="1" t="s">
        <v>21</v>
      </c>
      <c r="G638" s="1" t="s">
        <v>140</v>
      </c>
      <c r="H638" s="1" t="s">
        <v>529</v>
      </c>
      <c r="I638" s="1" t="s">
        <v>289</v>
      </c>
      <c r="J638" s="1" t="s">
        <v>125</v>
      </c>
      <c r="K638" s="1" t="s">
        <v>109</v>
      </c>
      <c r="L638" s="1">
        <v>3151254</v>
      </c>
      <c r="M638" s="1" t="s">
        <v>857</v>
      </c>
      <c r="N638" s="5">
        <f t="shared" si="230"/>
        <v>45559</v>
      </c>
      <c r="O638" s="5">
        <f>DATE(2026,12,31)</f>
        <v>46387</v>
      </c>
      <c r="P638" s="5">
        <f t="shared" si="207"/>
        <v>47482</v>
      </c>
      <c r="Q638" s="1">
        <v>2400</v>
      </c>
      <c r="R638" s="1">
        <v>2400</v>
      </c>
      <c r="S638" s="1">
        <f t="shared" si="208"/>
        <v>2400</v>
      </c>
      <c r="T638" s="1">
        <v>2.5</v>
      </c>
      <c r="U638" s="1" t="str">
        <f t="shared" si="209"/>
        <v>SIM</v>
      </c>
      <c r="V638" s="1">
        <f t="shared" si="210"/>
        <v>829</v>
      </c>
      <c r="W638" s="4">
        <f t="shared" si="211"/>
        <v>2.8950542822677927</v>
      </c>
      <c r="X638" s="4">
        <f t="shared" si="212"/>
        <v>1056.6948130277444</v>
      </c>
      <c r="Y638" s="4">
        <f t="shared" si="213"/>
        <v>1.3208685162846805</v>
      </c>
      <c r="AB638" s="5">
        <f t="shared" si="214"/>
        <v>45292</v>
      </c>
      <c r="AC638" s="5">
        <f t="shared" si="215"/>
        <v>45657</v>
      </c>
      <c r="AD638" s="1">
        <v>15</v>
      </c>
      <c r="AE638" s="1">
        <f t="shared" si="216"/>
        <v>0</v>
      </c>
      <c r="AF638" s="1">
        <f t="shared" si="217"/>
        <v>99</v>
      </c>
      <c r="AG638" s="1">
        <f t="shared" si="218"/>
        <v>0</v>
      </c>
      <c r="AH638" s="1">
        <f t="shared" si="219"/>
        <v>0</v>
      </c>
      <c r="AI638" s="1">
        <f t="shared" si="220"/>
        <v>0</v>
      </c>
      <c r="AJ638" s="3">
        <f t="shared" si="221"/>
        <v>0.27049180327868855</v>
      </c>
      <c r="AK638" s="3">
        <f t="shared" si="222"/>
        <v>0.35728410686388901</v>
      </c>
      <c r="AL638" s="3">
        <f t="shared" si="223"/>
        <v>5.3592616029583349</v>
      </c>
      <c r="AM638" s="3">
        <f t="shared" si="224"/>
        <v>13.398154007395837</v>
      </c>
      <c r="AN638" s="3">
        <f t="shared" si="225"/>
        <v>0</v>
      </c>
      <c r="AO638" s="3">
        <f t="shared" si="226"/>
        <v>13.398154007395837</v>
      </c>
      <c r="AP638" s="1" t="str">
        <f>INDEX({"EAD";"EAD";"EAD";"EAD MOOC";"EAD";"EAD";"EAD FP";"EAD";"PRESENCIAL";"PRESENCIAL";"PRESENCIAL";"PRESENCIAL"}, MATCH(CONCATENATE(E638, ".", F638),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39" spans="1:42" x14ac:dyDescent="0.25">
      <c r="A639" s="1" t="s">
        <v>27</v>
      </c>
      <c r="B639" s="1" t="s">
        <v>43</v>
      </c>
      <c r="C639" s="1" t="s">
        <v>29</v>
      </c>
      <c r="D639" s="1" t="s">
        <v>44</v>
      </c>
      <c r="E639" s="1" t="s">
        <v>120</v>
      </c>
      <c r="F639" s="1" t="s">
        <v>21</v>
      </c>
      <c r="G639" s="1" t="s">
        <v>140</v>
      </c>
      <c r="H639" s="1" t="s">
        <v>550</v>
      </c>
      <c r="I639" s="1" t="s">
        <v>209</v>
      </c>
      <c r="J639" s="1" t="s">
        <v>125</v>
      </c>
      <c r="K639" s="1" t="s">
        <v>109</v>
      </c>
      <c r="L639" s="1">
        <v>3151257</v>
      </c>
      <c r="M639" s="1" t="s">
        <v>858</v>
      </c>
      <c r="N639" s="5">
        <f t="shared" si="230"/>
        <v>45559</v>
      </c>
      <c r="O639" s="5">
        <f>DATE(2026,12,31)</f>
        <v>46387</v>
      </c>
      <c r="P639" s="5">
        <f t="shared" si="207"/>
        <v>47482</v>
      </c>
      <c r="Q639" s="1">
        <v>2000</v>
      </c>
      <c r="R639" s="1">
        <v>2000</v>
      </c>
      <c r="S639" s="1">
        <f t="shared" si="208"/>
        <v>2000</v>
      </c>
      <c r="T639" s="1">
        <v>1.5</v>
      </c>
      <c r="U639" s="1" t="str">
        <f t="shared" si="209"/>
        <v>SIM</v>
      </c>
      <c r="V639" s="1">
        <f t="shared" si="210"/>
        <v>829</v>
      </c>
      <c r="W639" s="4">
        <f t="shared" si="211"/>
        <v>2.4125452352231602</v>
      </c>
      <c r="X639" s="4">
        <f t="shared" si="212"/>
        <v>880.57901085645346</v>
      </c>
      <c r="Y639" s="4">
        <f t="shared" si="213"/>
        <v>1.1007237635705669</v>
      </c>
      <c r="AB639" s="5">
        <f t="shared" si="214"/>
        <v>45292</v>
      </c>
      <c r="AC639" s="5">
        <f t="shared" si="215"/>
        <v>45657</v>
      </c>
      <c r="AD639" s="1">
        <v>28</v>
      </c>
      <c r="AE639" s="1">
        <f t="shared" si="216"/>
        <v>0</v>
      </c>
      <c r="AF639" s="1">
        <f t="shared" si="217"/>
        <v>99</v>
      </c>
      <c r="AG639" s="1">
        <f t="shared" si="218"/>
        <v>0</v>
      </c>
      <c r="AH639" s="1">
        <f t="shared" si="219"/>
        <v>0</v>
      </c>
      <c r="AI639" s="1">
        <f t="shared" si="220"/>
        <v>0</v>
      </c>
      <c r="AJ639" s="3">
        <f t="shared" si="221"/>
        <v>0.27049180327868855</v>
      </c>
      <c r="AK639" s="3">
        <f t="shared" si="222"/>
        <v>0.29773675571990749</v>
      </c>
      <c r="AL639" s="3">
        <f t="shared" si="223"/>
        <v>8.3366291601574094</v>
      </c>
      <c r="AM639" s="3">
        <f t="shared" si="224"/>
        <v>12.504943740236115</v>
      </c>
      <c r="AN639" s="3">
        <f t="shared" si="225"/>
        <v>0</v>
      </c>
      <c r="AO639" s="3">
        <f t="shared" si="226"/>
        <v>12.504943740236115</v>
      </c>
      <c r="AP639" s="1" t="str">
        <f>INDEX({"EAD";"EAD";"EAD";"EAD MOOC";"EAD";"EAD";"EAD FP";"EAD";"PRESENCIAL";"PRESENCIAL";"PRESENCIAL";"PRESENCIAL"}, MATCH(CONCATENATE(E639, ".", F639),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40" spans="1:42" x14ac:dyDescent="0.25">
      <c r="A640" s="1" t="s">
        <v>27</v>
      </c>
      <c r="B640" s="1" t="s">
        <v>43</v>
      </c>
      <c r="C640" s="1" t="s">
        <v>29</v>
      </c>
      <c r="D640" s="1" t="s">
        <v>44</v>
      </c>
      <c r="E640" s="1" t="s">
        <v>120</v>
      </c>
      <c r="F640" s="1" t="s">
        <v>21</v>
      </c>
      <c r="G640" s="1" t="s">
        <v>140</v>
      </c>
      <c r="H640" s="1" t="s">
        <v>500</v>
      </c>
      <c r="I640" s="1" t="s">
        <v>209</v>
      </c>
      <c r="J640" s="1" t="s">
        <v>125</v>
      </c>
      <c r="K640" s="1" t="s">
        <v>109</v>
      </c>
      <c r="L640" s="1">
        <v>3151261</v>
      </c>
      <c r="M640" s="1" t="s">
        <v>859</v>
      </c>
      <c r="N640" s="5">
        <f t="shared" si="230"/>
        <v>45559</v>
      </c>
      <c r="O640" s="5">
        <f>DATE(2027,12,31)</f>
        <v>46752</v>
      </c>
      <c r="P640" s="5">
        <f t="shared" si="207"/>
        <v>47847</v>
      </c>
      <c r="Q640" s="1">
        <v>2000</v>
      </c>
      <c r="R640" s="1">
        <v>2000</v>
      </c>
      <c r="S640" s="1">
        <f t="shared" si="208"/>
        <v>2000</v>
      </c>
      <c r="T640" s="1">
        <v>1</v>
      </c>
      <c r="U640" s="1" t="str">
        <f t="shared" si="209"/>
        <v>SIM</v>
      </c>
      <c r="V640" s="1">
        <f t="shared" si="210"/>
        <v>1194</v>
      </c>
      <c r="W640" s="4">
        <f t="shared" si="211"/>
        <v>1.6750418760469012</v>
      </c>
      <c r="X640" s="4">
        <f t="shared" si="212"/>
        <v>611.39028475711893</v>
      </c>
      <c r="Y640" s="4">
        <f t="shared" si="213"/>
        <v>0.7642378559463987</v>
      </c>
      <c r="AB640" s="5">
        <f t="shared" si="214"/>
        <v>45292</v>
      </c>
      <c r="AC640" s="5">
        <f t="shared" si="215"/>
        <v>45657</v>
      </c>
      <c r="AD640" s="1">
        <v>27</v>
      </c>
      <c r="AE640" s="1">
        <f t="shared" si="216"/>
        <v>0</v>
      </c>
      <c r="AF640" s="1">
        <f t="shared" si="217"/>
        <v>99</v>
      </c>
      <c r="AG640" s="1">
        <f t="shared" si="218"/>
        <v>0</v>
      </c>
      <c r="AH640" s="1">
        <f t="shared" si="219"/>
        <v>0</v>
      </c>
      <c r="AI640" s="1">
        <f t="shared" si="220"/>
        <v>0</v>
      </c>
      <c r="AJ640" s="3">
        <f t="shared" si="221"/>
        <v>0.27049180327868855</v>
      </c>
      <c r="AK640" s="3">
        <f t="shared" si="222"/>
        <v>0.20672007578877999</v>
      </c>
      <c r="AL640" s="3">
        <f t="shared" si="223"/>
        <v>5.5814420462970595</v>
      </c>
      <c r="AM640" s="3">
        <f t="shared" si="224"/>
        <v>5.5814420462970595</v>
      </c>
      <c r="AN640" s="3">
        <f t="shared" si="225"/>
        <v>0</v>
      </c>
      <c r="AO640" s="3">
        <f t="shared" si="226"/>
        <v>5.5814420462970595</v>
      </c>
      <c r="AP640" s="1" t="str">
        <f>INDEX({"EAD";"EAD";"EAD";"EAD MOOC";"EAD";"EAD";"EAD FP";"EAD";"PRESENCIAL";"PRESENCIAL";"PRESENCIAL";"PRESENCIAL"}, MATCH(CONCATENATE(E640, ".", F640),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41" spans="1:42" x14ac:dyDescent="0.25">
      <c r="A641" s="1" t="s">
        <v>27</v>
      </c>
      <c r="B641" s="1" t="s">
        <v>43</v>
      </c>
      <c r="C641" s="1" t="s">
        <v>29</v>
      </c>
      <c r="D641" s="1" t="s">
        <v>44</v>
      </c>
      <c r="E641" s="1" t="s">
        <v>120</v>
      </c>
      <c r="F641" s="1" t="s">
        <v>21</v>
      </c>
      <c r="G641" s="1" t="s">
        <v>278</v>
      </c>
      <c r="H641" s="1" t="s">
        <v>629</v>
      </c>
      <c r="I641" s="1" t="s">
        <v>172</v>
      </c>
      <c r="J641" s="1" t="s">
        <v>125</v>
      </c>
      <c r="K641" s="1" t="s">
        <v>109</v>
      </c>
      <c r="L641" s="1">
        <v>3151266</v>
      </c>
      <c r="M641" s="1" t="s">
        <v>860</v>
      </c>
      <c r="N641" s="5">
        <f t="shared" si="230"/>
        <v>45559</v>
      </c>
      <c r="O641" s="5">
        <f>DATE(2028,12,31)</f>
        <v>47118</v>
      </c>
      <c r="P641" s="5">
        <f t="shared" si="207"/>
        <v>48213</v>
      </c>
      <c r="Q641" s="1">
        <v>3230</v>
      </c>
      <c r="R641" s="1">
        <v>3200</v>
      </c>
      <c r="S641" s="1">
        <f t="shared" si="208"/>
        <v>3200</v>
      </c>
      <c r="T641" s="1">
        <v>2.5</v>
      </c>
      <c r="U641" s="1" t="str">
        <f t="shared" si="209"/>
        <v>SIM</v>
      </c>
      <c r="V641" s="1">
        <f t="shared" si="210"/>
        <v>1560</v>
      </c>
      <c r="W641" s="4">
        <f t="shared" si="211"/>
        <v>2.0512820512820511</v>
      </c>
      <c r="X641" s="4">
        <f t="shared" si="212"/>
        <v>748.71794871794862</v>
      </c>
      <c r="Y641" s="4">
        <f t="shared" si="213"/>
        <v>0.93589743589743579</v>
      </c>
      <c r="AB641" s="5">
        <f t="shared" si="214"/>
        <v>45292</v>
      </c>
      <c r="AC641" s="5">
        <f t="shared" si="215"/>
        <v>45657</v>
      </c>
      <c r="AD641" s="1">
        <v>4</v>
      </c>
      <c r="AE641" s="1">
        <f t="shared" si="216"/>
        <v>0</v>
      </c>
      <c r="AF641" s="1">
        <f t="shared" si="217"/>
        <v>99</v>
      </c>
      <c r="AG641" s="1">
        <f t="shared" si="218"/>
        <v>0</v>
      </c>
      <c r="AH641" s="1">
        <f t="shared" si="219"/>
        <v>0</v>
      </c>
      <c r="AI641" s="1">
        <f t="shared" si="220"/>
        <v>0</v>
      </c>
      <c r="AJ641" s="3">
        <f t="shared" si="221"/>
        <v>0.27049180327868855</v>
      </c>
      <c r="AK641" s="3">
        <f t="shared" si="222"/>
        <v>0.25315258511979821</v>
      </c>
      <c r="AL641" s="3">
        <f t="shared" si="223"/>
        <v>1.0126103404791928</v>
      </c>
      <c r="AM641" s="3">
        <f t="shared" si="224"/>
        <v>2.5315258511979821</v>
      </c>
      <c r="AN641" s="3">
        <f t="shared" si="225"/>
        <v>0</v>
      </c>
      <c r="AO641" s="3">
        <f t="shared" si="226"/>
        <v>2.5315258511979821</v>
      </c>
      <c r="AP641" s="1" t="str">
        <f>INDEX({"EAD";"EAD";"EAD";"EAD MOOC";"EAD";"EAD";"EAD FP";"EAD";"PRESENCIAL";"PRESENCIAL";"PRESENCIAL";"PRESENCIAL"}, MATCH(CONCATENATE(E641, ".", F641),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42" spans="1:42" x14ac:dyDescent="0.25">
      <c r="A642" s="1" t="s">
        <v>27</v>
      </c>
      <c r="B642" s="1" t="s">
        <v>43</v>
      </c>
      <c r="C642" s="1" t="s">
        <v>29</v>
      </c>
      <c r="D642" s="1" t="s">
        <v>44</v>
      </c>
      <c r="E642" s="1" t="s">
        <v>170</v>
      </c>
      <c r="F642" s="1" t="s">
        <v>510</v>
      </c>
      <c r="G642" s="1" t="s">
        <v>178</v>
      </c>
      <c r="H642" s="1" t="s">
        <v>746</v>
      </c>
      <c r="I642" s="1" t="s">
        <v>172</v>
      </c>
      <c r="J642" s="1" t="s">
        <v>125</v>
      </c>
      <c r="K642" s="1" t="s">
        <v>109</v>
      </c>
      <c r="L642" s="1">
        <v>3174359</v>
      </c>
      <c r="M642" s="1" t="s">
        <v>861</v>
      </c>
      <c r="N642" s="5">
        <f>DATE(2024,10,28)</f>
        <v>45593</v>
      </c>
      <c r="O642" s="5">
        <f>DATE(2026,10,28)</f>
        <v>46323</v>
      </c>
      <c r="P642" s="5">
        <f t="shared" si="207"/>
        <v>47418</v>
      </c>
      <c r="Q642" s="1">
        <v>400</v>
      </c>
      <c r="R642" s="1">
        <v>360</v>
      </c>
      <c r="S642" s="1">
        <f t="shared" si="208"/>
        <v>360</v>
      </c>
      <c r="T642" s="1">
        <v>2</v>
      </c>
      <c r="U642" s="1" t="str">
        <f t="shared" si="209"/>
        <v>SIM</v>
      </c>
      <c r="V642" s="1">
        <f t="shared" si="210"/>
        <v>731</v>
      </c>
      <c r="W642" s="4">
        <f t="shared" si="211"/>
        <v>0.49247606019151846</v>
      </c>
      <c r="X642" s="4">
        <f t="shared" si="212"/>
        <v>179.75376196990425</v>
      </c>
      <c r="Y642" s="4">
        <f t="shared" si="213"/>
        <v>0.22469220246238031</v>
      </c>
      <c r="AB642" s="5">
        <f t="shared" si="214"/>
        <v>45292</v>
      </c>
      <c r="AC642" s="5">
        <f t="shared" si="215"/>
        <v>45657</v>
      </c>
      <c r="AD642" s="1">
        <v>242</v>
      </c>
      <c r="AE642" s="1">
        <f t="shared" si="216"/>
        <v>0</v>
      </c>
      <c r="AF642" s="1">
        <f t="shared" si="217"/>
        <v>65</v>
      </c>
      <c r="AG642" s="1">
        <f t="shared" si="218"/>
        <v>0</v>
      </c>
      <c r="AH642" s="1">
        <f t="shared" si="219"/>
        <v>0</v>
      </c>
      <c r="AI642" s="1">
        <f t="shared" si="220"/>
        <v>0</v>
      </c>
      <c r="AJ642" s="3">
        <f t="shared" si="221"/>
        <v>0.17759562841530055</v>
      </c>
      <c r="AK642" s="3">
        <f t="shared" si="222"/>
        <v>3.9904352896324373E-2</v>
      </c>
      <c r="AL642" s="3">
        <f t="shared" si="223"/>
        <v>9.6568534009104976</v>
      </c>
      <c r="AM642" s="3">
        <f t="shared" si="224"/>
        <v>19.313706801820995</v>
      </c>
      <c r="AN642" s="3">
        <f t="shared" si="225"/>
        <v>0</v>
      </c>
      <c r="AO642" s="3">
        <f t="shared" si="226"/>
        <v>19.313706801820995</v>
      </c>
      <c r="AP642" s="1" t="str">
        <f>INDEX({"EAD";"EAD";"EAD";"EAD MOOC";"EAD";"EAD";"EAD FP";"EAD";"PRESENCIAL";"PRESENCIAL";"PRESENCIAL";"PRESENCIAL"}, MATCH(CONCATENATE(E642, ".", F642),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43" spans="1:42" x14ac:dyDescent="0.25">
      <c r="A643" s="1" t="s">
        <v>27</v>
      </c>
      <c r="B643" s="1" t="s">
        <v>43</v>
      </c>
      <c r="C643" s="1" t="s">
        <v>29</v>
      </c>
      <c r="D643" s="1" t="s">
        <v>44</v>
      </c>
      <c r="E643" s="1" t="s">
        <v>170</v>
      </c>
      <c r="F643" s="1" t="s">
        <v>510</v>
      </c>
      <c r="G643" s="1" t="s">
        <v>178</v>
      </c>
      <c r="H643" s="1" t="s">
        <v>748</v>
      </c>
      <c r="I643" s="1" t="s">
        <v>209</v>
      </c>
      <c r="J643" s="1" t="s">
        <v>125</v>
      </c>
      <c r="K643" s="1" t="s">
        <v>109</v>
      </c>
      <c r="L643" s="1">
        <v>3174360</v>
      </c>
      <c r="M643" s="1" t="s">
        <v>862</v>
      </c>
      <c r="N643" s="5">
        <f>DATE(2024,10,28)</f>
        <v>45593</v>
      </c>
      <c r="O643" s="5">
        <f>DATE(2026,10,28)</f>
        <v>46323</v>
      </c>
      <c r="P643" s="5">
        <f t="shared" si="207"/>
        <v>47418</v>
      </c>
      <c r="Q643" s="1">
        <v>405</v>
      </c>
      <c r="R643" s="1">
        <v>360</v>
      </c>
      <c r="S643" s="1">
        <f t="shared" si="208"/>
        <v>360</v>
      </c>
      <c r="T643" s="1">
        <v>1.5</v>
      </c>
      <c r="U643" s="1" t="str">
        <f t="shared" si="209"/>
        <v>SIM</v>
      </c>
      <c r="V643" s="1">
        <f t="shared" si="210"/>
        <v>731</v>
      </c>
      <c r="W643" s="4">
        <f t="shared" si="211"/>
        <v>0.49247606019151846</v>
      </c>
      <c r="X643" s="4">
        <f t="shared" si="212"/>
        <v>179.75376196990425</v>
      </c>
      <c r="Y643" s="4">
        <f t="shared" si="213"/>
        <v>0.22469220246238031</v>
      </c>
      <c r="AB643" s="5">
        <f t="shared" si="214"/>
        <v>45292</v>
      </c>
      <c r="AC643" s="5">
        <f t="shared" si="215"/>
        <v>45657</v>
      </c>
      <c r="AD643" s="1">
        <v>190</v>
      </c>
      <c r="AE643" s="1">
        <f t="shared" si="216"/>
        <v>0</v>
      </c>
      <c r="AF643" s="1">
        <f t="shared" si="217"/>
        <v>65</v>
      </c>
      <c r="AG643" s="1">
        <f t="shared" si="218"/>
        <v>0</v>
      </c>
      <c r="AH643" s="1">
        <f t="shared" si="219"/>
        <v>0</v>
      </c>
      <c r="AI643" s="1">
        <f t="shared" si="220"/>
        <v>0</v>
      </c>
      <c r="AJ643" s="3">
        <f t="shared" si="221"/>
        <v>0.17759562841530055</v>
      </c>
      <c r="AK643" s="3">
        <f t="shared" si="222"/>
        <v>3.9904352896324373E-2</v>
      </c>
      <c r="AL643" s="3">
        <f t="shared" si="223"/>
        <v>7.581827050301631</v>
      </c>
      <c r="AM643" s="3">
        <f t="shared" si="224"/>
        <v>11.372740575452447</v>
      </c>
      <c r="AN643" s="3">
        <f t="shared" si="225"/>
        <v>0</v>
      </c>
      <c r="AO643" s="3">
        <f t="shared" si="226"/>
        <v>11.372740575452447</v>
      </c>
      <c r="AP643" s="1" t="str">
        <f>INDEX({"EAD";"EAD";"EAD";"EAD MOOC";"EAD";"EAD";"EAD FP";"EAD";"PRESENCIAL";"PRESENCIAL";"PRESENCIAL";"PRESENCIAL"}, MATCH(CONCATENATE(E643, ".", F643),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44" spans="1:42" x14ac:dyDescent="0.25">
      <c r="A644" s="1" t="s">
        <v>27</v>
      </c>
      <c r="B644" s="1" t="s">
        <v>43</v>
      </c>
      <c r="C644" s="1" t="s">
        <v>29</v>
      </c>
      <c r="D644" s="1" t="s">
        <v>45</v>
      </c>
      <c r="E644" s="1" t="s">
        <v>170</v>
      </c>
      <c r="F644" s="1" t="s">
        <v>510</v>
      </c>
      <c r="G644" s="1" t="s">
        <v>278</v>
      </c>
      <c r="H644" s="1" t="s">
        <v>279</v>
      </c>
      <c r="I644" s="1" t="s">
        <v>172</v>
      </c>
      <c r="J644" s="1" t="s">
        <v>125</v>
      </c>
      <c r="K644" s="1" t="s">
        <v>109</v>
      </c>
      <c r="L644" s="1">
        <v>399004</v>
      </c>
      <c r="M644" s="1" t="s">
        <v>863</v>
      </c>
      <c r="N644" s="5">
        <f>DATE(2007,7,16)</f>
        <v>39279</v>
      </c>
      <c r="O644" s="5">
        <f>DATE(2010,6,25)</f>
        <v>40354</v>
      </c>
      <c r="P644" s="5">
        <f t="shared" ref="P644:P707" si="231">IF(G644="QUALIFICACAO PROFISSIONAL (FIC)",O644,O644+1095)</f>
        <v>41449</v>
      </c>
      <c r="Q644" s="1">
        <v>3000</v>
      </c>
      <c r="R644" s="1">
        <v>3200</v>
      </c>
      <c r="S644" s="1">
        <f t="shared" ref="S644:S707" si="232">IF(OR(G644="QUALIFICACAO PROFISSIONAL (FIC)",G644="DOUTORADO"),Q644,    IF(ISNUMBER(FIND("PROEJA",K644)),2400,        IF(K644="INTEGRADO",            IF(R644=800,3000,                IF(R644=1000,3100,                    IF(R644=1200,3200,R644)                )            ),            R644        )    ))</f>
        <v>3200</v>
      </c>
      <c r="T644" s="1">
        <v>2.5</v>
      </c>
      <c r="U644" s="1" t="str">
        <f t="shared" ref="U644:U707" si="233">IF(P644&lt;AB644,"NÃO","SIM")</f>
        <v>NÃO</v>
      </c>
      <c r="V644" s="1">
        <f t="shared" ref="V644:V707" si="234">O644-N644+1</f>
        <v>1076</v>
      </c>
      <c r="W644" s="4">
        <f t="shared" ref="W644:W707" si="235">IF(S644&gt;Q644,Q644,S644)/V644</f>
        <v>2.7881040892193307</v>
      </c>
      <c r="X644" s="4">
        <f t="shared" ref="X644:X707" si="236">IF(V644&gt;365,W644*365,S644)</f>
        <v>1017.6579925650557</v>
      </c>
      <c r="Y644" s="4">
        <f t="shared" ref="Y644:Y707" si="237">IF(V644&gt;365,X644/800,S644/800)</f>
        <v>1.2720724907063197</v>
      </c>
      <c r="AB644" s="5">
        <f t="shared" ref="AB644:AB707" si="238">DATE(2024,1,1)</f>
        <v>45292</v>
      </c>
      <c r="AC644" s="5">
        <f t="shared" ref="AC644:AC707" si="239">DATE(2024,12,31)</f>
        <v>45657</v>
      </c>
      <c r="AE644" s="1">
        <f t="shared" ref="AE644:AE707" si="240">IF(AND(N644&lt;AB644,O644&gt;AC644),AC644-AB644+1,0)</f>
        <v>0</v>
      </c>
      <c r="AF644" s="1">
        <f t="shared" ref="AF644:AF707" si="241">IF(AND(N644&gt;=AB644,O644&gt;AC644,N644&lt;AC644),AC644-N644+1,0)</f>
        <v>0</v>
      </c>
      <c r="AG644" s="1">
        <f t="shared" ref="AG644:AG707" si="242">IF(AND(N644&lt;AB644,O644&lt;=AC644,O644&gt;=AB644),O644-AB644+1,0)</f>
        <v>0</v>
      </c>
      <c r="AH644" s="1">
        <f t="shared" ref="AH644:AH707" si="243">IF(AND(N644&gt;=AB644,O644&lt;=AC644),O644-N644+1,0)</f>
        <v>0</v>
      </c>
      <c r="AI644" s="1">
        <f t="shared" ref="AI644:AI707" si="244">IF(AND(N644&lt;AB644,O644&lt;AB644),(AC644-AB644+1)/2,0)</f>
        <v>183</v>
      </c>
      <c r="AJ644" s="3">
        <f t="shared" ref="AJ644:AJ707" si="245">SUM(AE644:AI644)/IF(V644&gt;=365,AC644-AB644+1,V644)</f>
        <v>0.5</v>
      </c>
      <c r="AK644" s="3">
        <f t="shared" ref="AK644:AK707" si="246">Y644*AJ644</f>
        <v>0.63603624535315983</v>
      </c>
      <c r="AL644" s="3">
        <f t="shared" ref="AL644:AL707" si="247">IF(AI644=0,AK644*AD644,IF(U644="SIM",AK644*(AD644/2),0))</f>
        <v>0</v>
      </c>
      <c r="AM644" s="3">
        <f t="shared" ref="AM644:AM707" si="248">AL644*T644</f>
        <v>0</v>
      </c>
      <c r="AN644" s="3">
        <f t="shared" ref="AN644:AN707" si="249">IF(J644="SIM",AM644*50%,0)</f>
        <v>0</v>
      </c>
      <c r="AO644" s="3">
        <f t="shared" ref="AO644:AO707" si="250">IF(U644="SIM",AM644+AN644,0)</f>
        <v>0</v>
      </c>
      <c r="AP644" s="1" t="str">
        <f>INDEX({"EAD";"EAD";"EAD";"EAD MOOC";"EAD";"EAD";"EAD FP";"EAD";"PRESENCIAL";"PRESENCIAL";"PRESENCIAL";"PRESENCIAL"}, MATCH(CONCATENATE(E644, ".", F644),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45" spans="1:42" x14ac:dyDescent="0.25">
      <c r="A645" s="1" t="s">
        <v>27</v>
      </c>
      <c r="B645" s="1" t="s">
        <v>43</v>
      </c>
      <c r="C645" s="1" t="s">
        <v>29</v>
      </c>
      <c r="D645" s="1" t="s">
        <v>45</v>
      </c>
      <c r="E645" s="1" t="s">
        <v>120</v>
      </c>
      <c r="F645" s="1" t="s">
        <v>21</v>
      </c>
      <c r="G645" s="1" t="s">
        <v>128</v>
      </c>
      <c r="H645" s="1" t="s">
        <v>227</v>
      </c>
      <c r="I645" s="1" t="s">
        <v>228</v>
      </c>
      <c r="J645" s="1" t="s">
        <v>125</v>
      </c>
      <c r="K645" s="1" t="s">
        <v>163</v>
      </c>
      <c r="L645" s="1">
        <v>800850</v>
      </c>
      <c r="M645" s="1" t="s">
        <v>864</v>
      </c>
      <c r="N645" s="5">
        <f>DATE(2011,2,7)</f>
        <v>40581</v>
      </c>
      <c r="O645" s="5">
        <f>DATE(2012,12,21)</f>
        <v>41264</v>
      </c>
      <c r="P645" s="5">
        <f t="shared" si="231"/>
        <v>42359</v>
      </c>
      <c r="Q645" s="1">
        <v>1655</v>
      </c>
      <c r="R645" s="1">
        <v>1200</v>
      </c>
      <c r="S645" s="1">
        <f t="shared" si="232"/>
        <v>1200</v>
      </c>
      <c r="T645" s="1">
        <v>2.5</v>
      </c>
      <c r="U645" s="1" t="str">
        <f t="shared" si="233"/>
        <v>NÃO</v>
      </c>
      <c r="V645" s="1">
        <f t="shared" si="234"/>
        <v>684</v>
      </c>
      <c r="W645" s="4">
        <f t="shared" si="235"/>
        <v>1.7543859649122806</v>
      </c>
      <c r="X645" s="4">
        <f t="shared" si="236"/>
        <v>640.35087719298247</v>
      </c>
      <c r="Y645" s="4">
        <f t="shared" si="237"/>
        <v>0.80043859649122806</v>
      </c>
      <c r="AB645" s="5">
        <f t="shared" si="238"/>
        <v>45292</v>
      </c>
      <c r="AC645" s="5">
        <f t="shared" si="239"/>
        <v>45657</v>
      </c>
      <c r="AE645" s="1">
        <f t="shared" si="240"/>
        <v>0</v>
      </c>
      <c r="AF645" s="1">
        <f t="shared" si="241"/>
        <v>0</v>
      </c>
      <c r="AG645" s="1">
        <f t="shared" si="242"/>
        <v>0</v>
      </c>
      <c r="AH645" s="1">
        <f t="shared" si="243"/>
        <v>0</v>
      </c>
      <c r="AI645" s="1">
        <f t="shared" si="244"/>
        <v>183</v>
      </c>
      <c r="AJ645" s="3">
        <f t="shared" si="245"/>
        <v>0.5</v>
      </c>
      <c r="AK645" s="3">
        <f t="shared" si="246"/>
        <v>0.40021929824561403</v>
      </c>
      <c r="AL645" s="3">
        <f t="shared" si="247"/>
        <v>0</v>
      </c>
      <c r="AM645" s="3">
        <f t="shared" si="248"/>
        <v>0</v>
      </c>
      <c r="AN645" s="3">
        <f t="shared" si="249"/>
        <v>0</v>
      </c>
      <c r="AO645" s="3">
        <f t="shared" si="250"/>
        <v>0</v>
      </c>
      <c r="AP645" s="1" t="str">
        <f>INDEX({"EAD";"EAD";"EAD";"EAD MOOC";"EAD";"EAD";"EAD FP";"EAD";"PRESENCIAL";"PRESENCIAL";"PRESENCIAL";"PRESENCIAL"}, MATCH(CONCATENATE(E645, ".", F645),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46" spans="1:42" x14ac:dyDescent="0.25">
      <c r="A646" s="1" t="s">
        <v>27</v>
      </c>
      <c r="B646" s="1" t="s">
        <v>43</v>
      </c>
      <c r="C646" s="1" t="s">
        <v>29</v>
      </c>
      <c r="D646" s="1" t="s">
        <v>45</v>
      </c>
      <c r="E646" s="1" t="s">
        <v>120</v>
      </c>
      <c r="F646" s="1" t="s">
        <v>21</v>
      </c>
      <c r="G646" s="1" t="s">
        <v>140</v>
      </c>
      <c r="H646" s="1" t="s">
        <v>865</v>
      </c>
      <c r="I646" s="1" t="s">
        <v>224</v>
      </c>
      <c r="J646" s="1" t="s">
        <v>125</v>
      </c>
      <c r="K646" s="1" t="s">
        <v>109</v>
      </c>
      <c r="L646" s="1">
        <v>800851</v>
      </c>
      <c r="M646" s="1" t="s">
        <v>866</v>
      </c>
      <c r="N646" s="5">
        <f>DATE(2011,2,7)</f>
        <v>40581</v>
      </c>
      <c r="O646" s="5">
        <f>DATE(2013,12,20)</f>
        <v>41628</v>
      </c>
      <c r="P646" s="5">
        <f t="shared" si="231"/>
        <v>42723</v>
      </c>
      <c r="Q646" s="1">
        <v>2159</v>
      </c>
      <c r="R646" s="1">
        <v>1600</v>
      </c>
      <c r="S646" s="1">
        <f t="shared" si="232"/>
        <v>1600</v>
      </c>
      <c r="T646" s="1">
        <v>1</v>
      </c>
      <c r="U646" s="1" t="str">
        <f t="shared" si="233"/>
        <v>NÃO</v>
      </c>
      <c r="V646" s="1">
        <f t="shared" si="234"/>
        <v>1048</v>
      </c>
      <c r="W646" s="4">
        <f t="shared" si="235"/>
        <v>1.5267175572519085</v>
      </c>
      <c r="X646" s="4">
        <f t="shared" si="236"/>
        <v>557.25190839694665</v>
      </c>
      <c r="Y646" s="4">
        <f t="shared" si="237"/>
        <v>0.69656488549618334</v>
      </c>
      <c r="AB646" s="5">
        <f t="shared" si="238"/>
        <v>45292</v>
      </c>
      <c r="AC646" s="5">
        <f t="shared" si="239"/>
        <v>45657</v>
      </c>
      <c r="AD646" s="1">
        <v>1</v>
      </c>
      <c r="AE646" s="1">
        <f t="shared" si="240"/>
        <v>0</v>
      </c>
      <c r="AF646" s="1">
        <f t="shared" si="241"/>
        <v>0</v>
      </c>
      <c r="AG646" s="1">
        <f t="shared" si="242"/>
        <v>0</v>
      </c>
      <c r="AH646" s="1">
        <f t="shared" si="243"/>
        <v>0</v>
      </c>
      <c r="AI646" s="1">
        <f t="shared" si="244"/>
        <v>183</v>
      </c>
      <c r="AJ646" s="3">
        <f t="shared" si="245"/>
        <v>0.5</v>
      </c>
      <c r="AK646" s="3">
        <f t="shared" si="246"/>
        <v>0.34828244274809167</v>
      </c>
      <c r="AL646" s="3">
        <f t="shared" si="247"/>
        <v>0</v>
      </c>
      <c r="AM646" s="3">
        <f t="shared" si="248"/>
        <v>0</v>
      </c>
      <c r="AN646" s="3">
        <f t="shared" si="249"/>
        <v>0</v>
      </c>
      <c r="AO646" s="3">
        <f t="shared" si="250"/>
        <v>0</v>
      </c>
      <c r="AP646" s="1" t="str">
        <f>INDEX({"EAD";"EAD";"EAD";"EAD MOOC";"EAD";"EAD";"EAD FP";"EAD";"PRESENCIAL";"PRESENCIAL";"PRESENCIAL";"PRESENCIAL"}, MATCH(CONCATENATE(E646, ".", F646),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47" spans="1:42" x14ac:dyDescent="0.25">
      <c r="A647" s="1" t="s">
        <v>27</v>
      </c>
      <c r="B647" s="1" t="s">
        <v>43</v>
      </c>
      <c r="C647" s="1" t="s">
        <v>29</v>
      </c>
      <c r="D647" s="1" t="s">
        <v>45</v>
      </c>
      <c r="E647" s="1" t="s">
        <v>120</v>
      </c>
      <c r="F647" s="1" t="s">
        <v>21</v>
      </c>
      <c r="G647" s="1" t="s">
        <v>128</v>
      </c>
      <c r="H647" s="1" t="s">
        <v>227</v>
      </c>
      <c r="I647" s="1" t="s">
        <v>228</v>
      </c>
      <c r="J647" s="1" t="s">
        <v>125</v>
      </c>
      <c r="K647" s="1" t="s">
        <v>163</v>
      </c>
      <c r="L647" s="1">
        <v>1207477</v>
      </c>
      <c r="M647" s="1" t="s">
        <v>867</v>
      </c>
      <c r="N647" s="5">
        <f>DATE(2012,3,26)</f>
        <v>40994</v>
      </c>
      <c r="O647" s="5">
        <f>DATE(2013,12,20)</f>
        <v>41628</v>
      </c>
      <c r="P647" s="5">
        <f t="shared" si="231"/>
        <v>42723</v>
      </c>
      <c r="Q647" s="1">
        <v>1655</v>
      </c>
      <c r="R647" s="1">
        <v>1200</v>
      </c>
      <c r="S647" s="1">
        <f t="shared" si="232"/>
        <v>1200</v>
      </c>
      <c r="T647" s="1">
        <v>2.5</v>
      </c>
      <c r="U647" s="1" t="str">
        <f t="shared" si="233"/>
        <v>NÃO</v>
      </c>
      <c r="V647" s="1">
        <f t="shared" si="234"/>
        <v>635</v>
      </c>
      <c r="W647" s="4">
        <f t="shared" si="235"/>
        <v>1.889763779527559</v>
      </c>
      <c r="X647" s="4">
        <f t="shared" si="236"/>
        <v>689.763779527559</v>
      </c>
      <c r="Y647" s="4">
        <f t="shared" si="237"/>
        <v>0.86220472440944873</v>
      </c>
      <c r="AB647" s="5">
        <f t="shared" si="238"/>
        <v>45292</v>
      </c>
      <c r="AC647" s="5">
        <f t="shared" si="239"/>
        <v>45657</v>
      </c>
      <c r="AE647" s="1">
        <f t="shared" si="240"/>
        <v>0</v>
      </c>
      <c r="AF647" s="1">
        <f t="shared" si="241"/>
        <v>0</v>
      </c>
      <c r="AG647" s="1">
        <f t="shared" si="242"/>
        <v>0</v>
      </c>
      <c r="AH647" s="1">
        <f t="shared" si="243"/>
        <v>0</v>
      </c>
      <c r="AI647" s="1">
        <f t="shared" si="244"/>
        <v>183</v>
      </c>
      <c r="AJ647" s="3">
        <f t="shared" si="245"/>
        <v>0.5</v>
      </c>
      <c r="AK647" s="3">
        <f t="shared" si="246"/>
        <v>0.43110236220472437</v>
      </c>
      <c r="AL647" s="3">
        <f t="shared" si="247"/>
        <v>0</v>
      </c>
      <c r="AM647" s="3">
        <f t="shared" si="248"/>
        <v>0</v>
      </c>
      <c r="AN647" s="3">
        <f t="shared" si="249"/>
        <v>0</v>
      </c>
      <c r="AO647" s="3">
        <f t="shared" si="250"/>
        <v>0</v>
      </c>
      <c r="AP647" s="1" t="str">
        <f>INDEX({"EAD";"EAD";"EAD";"EAD MOOC";"EAD";"EAD";"EAD FP";"EAD";"PRESENCIAL";"PRESENCIAL";"PRESENCIAL";"PRESENCIAL"}, MATCH(CONCATENATE(E647, ".", F647),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48" spans="1:42" x14ac:dyDescent="0.25">
      <c r="A648" s="1" t="s">
        <v>27</v>
      </c>
      <c r="B648" s="1" t="s">
        <v>43</v>
      </c>
      <c r="C648" s="1" t="s">
        <v>29</v>
      </c>
      <c r="D648" s="1" t="s">
        <v>45</v>
      </c>
      <c r="E648" s="1" t="s">
        <v>170</v>
      </c>
      <c r="F648" s="1" t="s">
        <v>510</v>
      </c>
      <c r="G648" s="1" t="s">
        <v>278</v>
      </c>
      <c r="H648" s="1" t="s">
        <v>279</v>
      </c>
      <c r="I648" s="1" t="s">
        <v>172</v>
      </c>
      <c r="J648" s="1" t="s">
        <v>125</v>
      </c>
      <c r="K648" s="1" t="s">
        <v>109</v>
      </c>
      <c r="L648" s="1">
        <v>1501984</v>
      </c>
      <c r="M648" s="1" t="s">
        <v>868</v>
      </c>
      <c r="N648" s="5">
        <f>DATE(2012,10,15)</f>
        <v>41197</v>
      </c>
      <c r="O648" s="5">
        <f>DATE(2015,8,28)</f>
        <v>42244</v>
      </c>
      <c r="P648" s="5">
        <f t="shared" si="231"/>
        <v>43339</v>
      </c>
      <c r="Q648" s="1">
        <v>2980</v>
      </c>
      <c r="R648" s="1">
        <v>3200</v>
      </c>
      <c r="S648" s="1">
        <f t="shared" si="232"/>
        <v>3200</v>
      </c>
      <c r="T648" s="1">
        <v>2.5</v>
      </c>
      <c r="U648" s="1" t="str">
        <f t="shared" si="233"/>
        <v>NÃO</v>
      </c>
      <c r="V648" s="1">
        <f t="shared" si="234"/>
        <v>1048</v>
      </c>
      <c r="W648" s="4">
        <f t="shared" si="235"/>
        <v>2.8435114503816794</v>
      </c>
      <c r="X648" s="4">
        <f t="shared" si="236"/>
        <v>1037.8816793893129</v>
      </c>
      <c r="Y648" s="4">
        <f t="shared" si="237"/>
        <v>1.2973520992366412</v>
      </c>
      <c r="AB648" s="5">
        <f t="shared" si="238"/>
        <v>45292</v>
      </c>
      <c r="AC648" s="5">
        <f t="shared" si="239"/>
        <v>45657</v>
      </c>
      <c r="AD648" s="1">
        <v>1</v>
      </c>
      <c r="AE648" s="1">
        <f t="shared" si="240"/>
        <v>0</v>
      </c>
      <c r="AF648" s="1">
        <f t="shared" si="241"/>
        <v>0</v>
      </c>
      <c r="AG648" s="1">
        <f t="shared" si="242"/>
        <v>0</v>
      </c>
      <c r="AH648" s="1">
        <f t="shared" si="243"/>
        <v>0</v>
      </c>
      <c r="AI648" s="1">
        <f t="shared" si="244"/>
        <v>183</v>
      </c>
      <c r="AJ648" s="3">
        <f t="shared" si="245"/>
        <v>0.5</v>
      </c>
      <c r="AK648" s="3">
        <f t="shared" si="246"/>
        <v>0.64867604961832059</v>
      </c>
      <c r="AL648" s="3">
        <f t="shared" si="247"/>
        <v>0</v>
      </c>
      <c r="AM648" s="3">
        <f t="shared" si="248"/>
        <v>0</v>
      </c>
      <c r="AN648" s="3">
        <f t="shared" si="249"/>
        <v>0</v>
      </c>
      <c r="AO648" s="3">
        <f t="shared" si="250"/>
        <v>0</v>
      </c>
      <c r="AP648" s="1" t="str">
        <f>INDEX({"EAD";"EAD";"EAD";"EAD MOOC";"EAD";"EAD";"EAD FP";"EAD";"PRESENCIAL";"PRESENCIAL";"PRESENCIAL";"PRESENCIAL"}, MATCH(CONCATENATE(E648, ".", F648),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49" spans="1:42" x14ac:dyDescent="0.25">
      <c r="A649" s="1" t="s">
        <v>27</v>
      </c>
      <c r="B649" s="1" t="s">
        <v>43</v>
      </c>
      <c r="C649" s="1" t="s">
        <v>29</v>
      </c>
      <c r="D649" s="1" t="s">
        <v>45</v>
      </c>
      <c r="E649" s="1" t="s">
        <v>170</v>
      </c>
      <c r="F649" s="1" t="s">
        <v>510</v>
      </c>
      <c r="G649" s="1" t="s">
        <v>278</v>
      </c>
      <c r="H649" s="1" t="s">
        <v>279</v>
      </c>
      <c r="I649" s="1" t="s">
        <v>172</v>
      </c>
      <c r="J649" s="1" t="s">
        <v>125</v>
      </c>
      <c r="K649" s="1" t="s">
        <v>109</v>
      </c>
      <c r="L649" s="1">
        <v>1501987</v>
      </c>
      <c r="M649" s="1" t="s">
        <v>868</v>
      </c>
      <c r="N649" s="5">
        <f>DATE(2012,10,15)</f>
        <v>41197</v>
      </c>
      <c r="O649" s="5">
        <f>DATE(2015,8,28)</f>
        <v>42244</v>
      </c>
      <c r="P649" s="5">
        <f t="shared" si="231"/>
        <v>43339</v>
      </c>
      <c r="Q649" s="1">
        <v>2980</v>
      </c>
      <c r="R649" s="1">
        <v>3200</v>
      </c>
      <c r="S649" s="1">
        <f t="shared" si="232"/>
        <v>3200</v>
      </c>
      <c r="T649" s="1">
        <v>2.5</v>
      </c>
      <c r="U649" s="1" t="str">
        <f t="shared" si="233"/>
        <v>NÃO</v>
      </c>
      <c r="V649" s="1">
        <f t="shared" si="234"/>
        <v>1048</v>
      </c>
      <c r="W649" s="4">
        <f t="shared" si="235"/>
        <v>2.8435114503816794</v>
      </c>
      <c r="X649" s="4">
        <f t="shared" si="236"/>
        <v>1037.8816793893129</v>
      </c>
      <c r="Y649" s="4">
        <f t="shared" si="237"/>
        <v>1.2973520992366412</v>
      </c>
      <c r="AB649" s="5">
        <f t="shared" si="238"/>
        <v>45292</v>
      </c>
      <c r="AC649" s="5">
        <f t="shared" si="239"/>
        <v>45657</v>
      </c>
      <c r="AD649" s="1">
        <v>2</v>
      </c>
      <c r="AE649" s="1">
        <f t="shared" si="240"/>
        <v>0</v>
      </c>
      <c r="AF649" s="1">
        <f t="shared" si="241"/>
        <v>0</v>
      </c>
      <c r="AG649" s="1">
        <f t="shared" si="242"/>
        <v>0</v>
      </c>
      <c r="AH649" s="1">
        <f t="shared" si="243"/>
        <v>0</v>
      </c>
      <c r="AI649" s="1">
        <f t="shared" si="244"/>
        <v>183</v>
      </c>
      <c r="AJ649" s="3">
        <f t="shared" si="245"/>
        <v>0.5</v>
      </c>
      <c r="AK649" s="3">
        <f t="shared" si="246"/>
        <v>0.64867604961832059</v>
      </c>
      <c r="AL649" s="3">
        <f t="shared" si="247"/>
        <v>0</v>
      </c>
      <c r="AM649" s="3">
        <f t="shared" si="248"/>
        <v>0</v>
      </c>
      <c r="AN649" s="3">
        <f t="shared" si="249"/>
        <v>0</v>
      </c>
      <c r="AO649" s="3">
        <f t="shared" si="250"/>
        <v>0</v>
      </c>
      <c r="AP649" s="1" t="str">
        <f>INDEX({"EAD";"EAD";"EAD";"EAD MOOC";"EAD";"EAD";"EAD FP";"EAD";"PRESENCIAL";"PRESENCIAL";"PRESENCIAL";"PRESENCIAL"}, MATCH(CONCATENATE(E649, ".", F649),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50" spans="1:42" x14ac:dyDescent="0.25">
      <c r="A650" s="1" t="s">
        <v>27</v>
      </c>
      <c r="B650" s="1" t="s">
        <v>43</v>
      </c>
      <c r="C650" s="1" t="s">
        <v>29</v>
      </c>
      <c r="D650" s="1" t="s">
        <v>45</v>
      </c>
      <c r="E650" s="1" t="s">
        <v>120</v>
      </c>
      <c r="F650" s="1" t="s">
        <v>21</v>
      </c>
      <c r="G650" s="1" t="s">
        <v>121</v>
      </c>
      <c r="H650" s="1" t="s">
        <v>869</v>
      </c>
      <c r="I650" s="1" t="s">
        <v>228</v>
      </c>
      <c r="J650" s="1" t="s">
        <v>125</v>
      </c>
      <c r="K650" s="1" t="s">
        <v>109</v>
      </c>
      <c r="L650" s="1">
        <v>1359454</v>
      </c>
      <c r="M650" s="1" t="s">
        <v>870</v>
      </c>
      <c r="N650" s="5">
        <f>DATE(2012,11,7)</f>
        <v>41220</v>
      </c>
      <c r="O650" s="5">
        <f>DATE(2017,8,25)</f>
        <v>42972</v>
      </c>
      <c r="P650" s="5">
        <f t="shared" si="231"/>
        <v>44067</v>
      </c>
      <c r="Q650" s="1">
        <v>4522</v>
      </c>
      <c r="R650" s="1">
        <v>3600</v>
      </c>
      <c r="S650" s="1">
        <f t="shared" si="232"/>
        <v>3600</v>
      </c>
      <c r="T650" s="1">
        <v>2.5</v>
      </c>
      <c r="U650" s="1" t="str">
        <f t="shared" si="233"/>
        <v>NÃO</v>
      </c>
      <c r="V650" s="1">
        <f t="shared" si="234"/>
        <v>1753</v>
      </c>
      <c r="W650" s="4">
        <f t="shared" si="235"/>
        <v>2.0536223616657159</v>
      </c>
      <c r="X650" s="4">
        <f t="shared" si="236"/>
        <v>749.57216200798632</v>
      </c>
      <c r="Y650" s="4">
        <f t="shared" si="237"/>
        <v>0.93696520250998294</v>
      </c>
      <c r="AB650" s="5">
        <f t="shared" si="238"/>
        <v>45292</v>
      </c>
      <c r="AC650" s="5">
        <f t="shared" si="239"/>
        <v>45657</v>
      </c>
      <c r="AD650" s="1">
        <v>1</v>
      </c>
      <c r="AE650" s="1">
        <f t="shared" si="240"/>
        <v>0</v>
      </c>
      <c r="AF650" s="1">
        <f t="shared" si="241"/>
        <v>0</v>
      </c>
      <c r="AG650" s="1">
        <f t="shared" si="242"/>
        <v>0</v>
      </c>
      <c r="AH650" s="1">
        <f t="shared" si="243"/>
        <v>0</v>
      </c>
      <c r="AI650" s="1">
        <f t="shared" si="244"/>
        <v>183</v>
      </c>
      <c r="AJ650" s="3">
        <f t="shared" si="245"/>
        <v>0.5</v>
      </c>
      <c r="AK650" s="3">
        <f t="shared" si="246"/>
        <v>0.46848260125499147</v>
      </c>
      <c r="AL650" s="3">
        <f t="shared" si="247"/>
        <v>0</v>
      </c>
      <c r="AM650" s="3">
        <f t="shared" si="248"/>
        <v>0</v>
      </c>
      <c r="AN650" s="3">
        <f t="shared" si="249"/>
        <v>0</v>
      </c>
      <c r="AO650" s="3">
        <f t="shared" si="250"/>
        <v>0</v>
      </c>
      <c r="AP650" s="1" t="str">
        <f>INDEX({"EAD";"EAD";"EAD";"EAD MOOC";"EAD";"EAD";"EAD FP";"EAD";"PRESENCIAL";"PRESENCIAL";"PRESENCIAL";"PRESENCIAL"}, MATCH(CONCATENATE(E650, ".", F650),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51" spans="1:42" x14ac:dyDescent="0.25">
      <c r="A651" s="1" t="s">
        <v>27</v>
      </c>
      <c r="B651" s="1" t="s">
        <v>43</v>
      </c>
      <c r="C651" s="1" t="s">
        <v>29</v>
      </c>
      <c r="D651" s="1" t="s">
        <v>45</v>
      </c>
      <c r="E651" s="1" t="s">
        <v>120</v>
      </c>
      <c r="F651" s="1" t="s">
        <v>21</v>
      </c>
      <c r="G651" s="1" t="s">
        <v>121</v>
      </c>
      <c r="H651" s="1" t="s">
        <v>869</v>
      </c>
      <c r="I651" s="1" t="s">
        <v>228</v>
      </c>
      <c r="J651" s="1" t="s">
        <v>125</v>
      </c>
      <c r="K651" s="1" t="s">
        <v>109</v>
      </c>
      <c r="L651" s="1">
        <v>1722022</v>
      </c>
      <c r="M651" s="1" t="s">
        <v>871</v>
      </c>
      <c r="N651" s="5">
        <f>DATE(2013,4,15)</f>
        <v>41379</v>
      </c>
      <c r="O651" s="5">
        <f>DATE(2017,12,31)</f>
        <v>43100</v>
      </c>
      <c r="P651" s="5">
        <f t="shared" si="231"/>
        <v>44195</v>
      </c>
      <c r="Q651" s="1">
        <v>4020</v>
      </c>
      <c r="R651" s="1">
        <v>3600</v>
      </c>
      <c r="S651" s="1">
        <f t="shared" si="232"/>
        <v>3600</v>
      </c>
      <c r="T651" s="1">
        <v>2.5</v>
      </c>
      <c r="U651" s="1" t="str">
        <f t="shared" si="233"/>
        <v>NÃO</v>
      </c>
      <c r="V651" s="1">
        <f t="shared" si="234"/>
        <v>1722</v>
      </c>
      <c r="W651" s="4">
        <f t="shared" si="235"/>
        <v>2.0905923344947737</v>
      </c>
      <c r="X651" s="4">
        <f t="shared" si="236"/>
        <v>763.06620209059236</v>
      </c>
      <c r="Y651" s="4">
        <f t="shared" si="237"/>
        <v>0.95383275261324041</v>
      </c>
      <c r="AB651" s="5">
        <f t="shared" si="238"/>
        <v>45292</v>
      </c>
      <c r="AC651" s="5">
        <f t="shared" si="239"/>
        <v>45657</v>
      </c>
      <c r="AE651" s="1">
        <f t="shared" si="240"/>
        <v>0</v>
      </c>
      <c r="AF651" s="1">
        <f t="shared" si="241"/>
        <v>0</v>
      </c>
      <c r="AG651" s="1">
        <f t="shared" si="242"/>
        <v>0</v>
      </c>
      <c r="AH651" s="1">
        <f t="shared" si="243"/>
        <v>0</v>
      </c>
      <c r="AI651" s="1">
        <f t="shared" si="244"/>
        <v>183</v>
      </c>
      <c r="AJ651" s="3">
        <f t="shared" si="245"/>
        <v>0.5</v>
      </c>
      <c r="AK651" s="3">
        <f t="shared" si="246"/>
        <v>0.4769163763066202</v>
      </c>
      <c r="AL651" s="3">
        <f t="shared" si="247"/>
        <v>0</v>
      </c>
      <c r="AM651" s="3">
        <f t="shared" si="248"/>
        <v>0</v>
      </c>
      <c r="AN651" s="3">
        <f t="shared" si="249"/>
        <v>0</v>
      </c>
      <c r="AO651" s="3">
        <f t="shared" si="250"/>
        <v>0</v>
      </c>
      <c r="AP651" s="1" t="str">
        <f>INDEX({"EAD";"EAD";"EAD";"EAD MOOC";"EAD";"EAD";"EAD FP";"EAD";"PRESENCIAL";"PRESENCIAL";"PRESENCIAL";"PRESENCIAL"}, MATCH(CONCATENATE(E651, ".", F651),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52" spans="1:42" x14ac:dyDescent="0.25">
      <c r="A652" s="1" t="s">
        <v>27</v>
      </c>
      <c r="B652" s="1" t="s">
        <v>43</v>
      </c>
      <c r="C652" s="1" t="s">
        <v>29</v>
      </c>
      <c r="D652" s="1" t="s">
        <v>45</v>
      </c>
      <c r="E652" s="1" t="s">
        <v>120</v>
      </c>
      <c r="F652" s="1" t="s">
        <v>21</v>
      </c>
      <c r="G652" s="1" t="s">
        <v>140</v>
      </c>
      <c r="H652" s="1" t="s">
        <v>865</v>
      </c>
      <c r="I652" s="1" t="s">
        <v>224</v>
      </c>
      <c r="J652" s="1" t="s">
        <v>125</v>
      </c>
      <c r="K652" s="1" t="s">
        <v>109</v>
      </c>
      <c r="L652" s="1">
        <v>1843009</v>
      </c>
      <c r="M652" s="1" t="s">
        <v>872</v>
      </c>
      <c r="N652" s="5">
        <f>DATE(2013,9,2)</f>
        <v>41519</v>
      </c>
      <c r="O652" s="5">
        <f>DATE(2016,7,29)</f>
        <v>42580</v>
      </c>
      <c r="P652" s="5">
        <f t="shared" si="231"/>
        <v>43675</v>
      </c>
      <c r="Q652" s="1">
        <v>2160</v>
      </c>
      <c r="R652" s="1">
        <v>1600</v>
      </c>
      <c r="S652" s="1">
        <f t="shared" si="232"/>
        <v>1600</v>
      </c>
      <c r="T652" s="1">
        <v>1</v>
      </c>
      <c r="U652" s="1" t="str">
        <f t="shared" si="233"/>
        <v>NÃO</v>
      </c>
      <c r="V652" s="1">
        <f t="shared" si="234"/>
        <v>1062</v>
      </c>
      <c r="W652" s="4">
        <f t="shared" si="235"/>
        <v>1.5065913370998116</v>
      </c>
      <c r="X652" s="4">
        <f t="shared" si="236"/>
        <v>549.90583804143125</v>
      </c>
      <c r="Y652" s="4">
        <f t="shared" si="237"/>
        <v>0.68738229755178903</v>
      </c>
      <c r="AB652" s="5">
        <f t="shared" si="238"/>
        <v>45292</v>
      </c>
      <c r="AC652" s="5">
        <f t="shared" si="239"/>
        <v>45657</v>
      </c>
      <c r="AD652" s="1">
        <v>1</v>
      </c>
      <c r="AE652" s="1">
        <f t="shared" si="240"/>
        <v>0</v>
      </c>
      <c r="AF652" s="1">
        <f t="shared" si="241"/>
        <v>0</v>
      </c>
      <c r="AG652" s="1">
        <f t="shared" si="242"/>
        <v>0</v>
      </c>
      <c r="AH652" s="1">
        <f t="shared" si="243"/>
        <v>0</v>
      </c>
      <c r="AI652" s="1">
        <f t="shared" si="244"/>
        <v>183</v>
      </c>
      <c r="AJ652" s="3">
        <f t="shared" si="245"/>
        <v>0.5</v>
      </c>
      <c r="AK652" s="3">
        <f t="shared" si="246"/>
        <v>0.34369114877589452</v>
      </c>
      <c r="AL652" s="3">
        <f t="shared" si="247"/>
        <v>0</v>
      </c>
      <c r="AM652" s="3">
        <f t="shared" si="248"/>
        <v>0</v>
      </c>
      <c r="AN652" s="3">
        <f t="shared" si="249"/>
        <v>0</v>
      </c>
      <c r="AO652" s="3">
        <f t="shared" si="250"/>
        <v>0</v>
      </c>
      <c r="AP652" s="1" t="str">
        <f>INDEX({"EAD";"EAD";"EAD";"EAD MOOC";"EAD";"EAD";"EAD FP";"EAD";"PRESENCIAL";"PRESENCIAL";"PRESENCIAL";"PRESENCIAL"}, MATCH(CONCATENATE(E652, ".", F652),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53" spans="1:42" x14ac:dyDescent="0.25">
      <c r="A653" s="1" t="s">
        <v>27</v>
      </c>
      <c r="B653" s="1" t="s">
        <v>43</v>
      </c>
      <c r="C653" s="1" t="s">
        <v>29</v>
      </c>
      <c r="D653" s="1" t="s">
        <v>45</v>
      </c>
      <c r="E653" s="1" t="s">
        <v>120</v>
      </c>
      <c r="F653" s="1" t="s">
        <v>21</v>
      </c>
      <c r="G653" s="1" t="s">
        <v>121</v>
      </c>
      <c r="H653" s="1" t="s">
        <v>869</v>
      </c>
      <c r="I653" s="1" t="s">
        <v>228</v>
      </c>
      <c r="J653" s="1" t="s">
        <v>125</v>
      </c>
      <c r="K653" s="1" t="s">
        <v>109</v>
      </c>
      <c r="L653" s="1">
        <v>1843111</v>
      </c>
      <c r="M653" s="1" t="s">
        <v>873</v>
      </c>
      <c r="N653" s="5">
        <f>DATE(2013,9,2)</f>
        <v>41519</v>
      </c>
      <c r="O653" s="5">
        <f>DATE(2018,7,27)</f>
        <v>43308</v>
      </c>
      <c r="P653" s="5">
        <f t="shared" si="231"/>
        <v>44403</v>
      </c>
      <c r="Q653" s="1">
        <v>4020</v>
      </c>
      <c r="R653" s="1">
        <v>3600</v>
      </c>
      <c r="S653" s="1">
        <f t="shared" si="232"/>
        <v>3600</v>
      </c>
      <c r="T653" s="1">
        <v>2.5</v>
      </c>
      <c r="U653" s="1" t="str">
        <f t="shared" si="233"/>
        <v>NÃO</v>
      </c>
      <c r="V653" s="1">
        <f t="shared" si="234"/>
        <v>1790</v>
      </c>
      <c r="W653" s="4">
        <f t="shared" si="235"/>
        <v>2.011173184357542</v>
      </c>
      <c r="X653" s="4">
        <f t="shared" si="236"/>
        <v>734.07821229050285</v>
      </c>
      <c r="Y653" s="4">
        <f t="shared" si="237"/>
        <v>0.91759776536312854</v>
      </c>
      <c r="AB653" s="5">
        <f t="shared" si="238"/>
        <v>45292</v>
      </c>
      <c r="AC653" s="5">
        <f t="shared" si="239"/>
        <v>45657</v>
      </c>
      <c r="AD653" s="1">
        <v>1</v>
      </c>
      <c r="AE653" s="1">
        <f t="shared" si="240"/>
        <v>0</v>
      </c>
      <c r="AF653" s="1">
        <f t="shared" si="241"/>
        <v>0</v>
      </c>
      <c r="AG653" s="1">
        <f t="shared" si="242"/>
        <v>0</v>
      </c>
      <c r="AH653" s="1">
        <f t="shared" si="243"/>
        <v>0</v>
      </c>
      <c r="AI653" s="1">
        <f t="shared" si="244"/>
        <v>183</v>
      </c>
      <c r="AJ653" s="3">
        <f t="shared" si="245"/>
        <v>0.5</v>
      </c>
      <c r="AK653" s="3">
        <f t="shared" si="246"/>
        <v>0.45879888268156427</v>
      </c>
      <c r="AL653" s="3">
        <f t="shared" si="247"/>
        <v>0</v>
      </c>
      <c r="AM653" s="3">
        <f t="shared" si="248"/>
        <v>0</v>
      </c>
      <c r="AN653" s="3">
        <f t="shared" si="249"/>
        <v>0</v>
      </c>
      <c r="AO653" s="3">
        <f t="shared" si="250"/>
        <v>0</v>
      </c>
      <c r="AP653" s="1" t="str">
        <f>INDEX({"EAD";"EAD";"EAD";"EAD MOOC";"EAD";"EAD";"EAD FP";"EAD";"PRESENCIAL";"PRESENCIAL";"PRESENCIAL";"PRESENCIAL"}, MATCH(CONCATENATE(E653, ".", F653),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54" spans="1:42" x14ac:dyDescent="0.25">
      <c r="A654" s="1" t="s">
        <v>27</v>
      </c>
      <c r="B654" s="1" t="s">
        <v>43</v>
      </c>
      <c r="C654" s="1" t="s">
        <v>29</v>
      </c>
      <c r="D654" s="1" t="s">
        <v>45</v>
      </c>
      <c r="E654" s="1" t="s">
        <v>170</v>
      </c>
      <c r="F654" s="1" t="s">
        <v>510</v>
      </c>
      <c r="G654" s="1" t="s">
        <v>278</v>
      </c>
      <c r="H654" s="1" t="s">
        <v>279</v>
      </c>
      <c r="I654" s="1" t="s">
        <v>172</v>
      </c>
      <c r="J654" s="1" t="s">
        <v>125</v>
      </c>
      <c r="K654" s="1" t="s">
        <v>109</v>
      </c>
      <c r="L654" s="1">
        <v>1858238</v>
      </c>
      <c r="M654" s="1" t="s">
        <v>874</v>
      </c>
      <c r="N654" s="5">
        <f>DATE(2013,12,2)</f>
        <v>41610</v>
      </c>
      <c r="O654" s="5">
        <f>DATE(2015,12,18)</f>
        <v>42356</v>
      </c>
      <c r="P654" s="5">
        <f t="shared" si="231"/>
        <v>43451</v>
      </c>
      <c r="Q654" s="1">
        <v>2980</v>
      </c>
      <c r="R654" s="1">
        <v>3200</v>
      </c>
      <c r="S654" s="1">
        <f t="shared" si="232"/>
        <v>3200</v>
      </c>
      <c r="T654" s="1">
        <v>2.5</v>
      </c>
      <c r="U654" s="1" t="str">
        <f t="shared" si="233"/>
        <v>NÃO</v>
      </c>
      <c r="V654" s="1">
        <f t="shared" si="234"/>
        <v>747</v>
      </c>
      <c r="W654" s="4">
        <f t="shared" si="235"/>
        <v>3.9892904953145916</v>
      </c>
      <c r="X654" s="4">
        <f t="shared" si="236"/>
        <v>1456.0910307898259</v>
      </c>
      <c r="Y654" s="4">
        <f t="shared" si="237"/>
        <v>1.8201137884872824</v>
      </c>
      <c r="AB654" s="5">
        <f t="shared" si="238"/>
        <v>45292</v>
      </c>
      <c r="AC654" s="5">
        <f t="shared" si="239"/>
        <v>45657</v>
      </c>
      <c r="AE654" s="1">
        <f t="shared" si="240"/>
        <v>0</v>
      </c>
      <c r="AF654" s="1">
        <f t="shared" si="241"/>
        <v>0</v>
      </c>
      <c r="AG654" s="1">
        <f t="shared" si="242"/>
        <v>0</v>
      </c>
      <c r="AH654" s="1">
        <f t="shared" si="243"/>
        <v>0</v>
      </c>
      <c r="AI654" s="1">
        <f t="shared" si="244"/>
        <v>183</v>
      </c>
      <c r="AJ654" s="3">
        <f t="shared" si="245"/>
        <v>0.5</v>
      </c>
      <c r="AK654" s="3">
        <f t="shared" si="246"/>
        <v>0.91005689424364122</v>
      </c>
      <c r="AL654" s="3">
        <f t="shared" si="247"/>
        <v>0</v>
      </c>
      <c r="AM654" s="3">
        <f t="shared" si="248"/>
        <v>0</v>
      </c>
      <c r="AN654" s="3">
        <f t="shared" si="249"/>
        <v>0</v>
      </c>
      <c r="AO654" s="3">
        <f t="shared" si="250"/>
        <v>0</v>
      </c>
      <c r="AP654" s="1" t="str">
        <f>INDEX({"EAD";"EAD";"EAD";"EAD MOOC";"EAD";"EAD";"EAD FP";"EAD";"PRESENCIAL";"PRESENCIAL";"PRESENCIAL";"PRESENCIAL"}, MATCH(CONCATENATE(E654, ".", F654),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55" spans="1:42" x14ac:dyDescent="0.25">
      <c r="A655" s="1" t="s">
        <v>27</v>
      </c>
      <c r="B655" s="1" t="s">
        <v>43</v>
      </c>
      <c r="C655" s="1" t="s">
        <v>29</v>
      </c>
      <c r="D655" s="1" t="s">
        <v>45</v>
      </c>
      <c r="E655" s="1" t="s">
        <v>120</v>
      </c>
      <c r="F655" s="1" t="s">
        <v>21</v>
      </c>
      <c r="G655" s="1" t="s">
        <v>140</v>
      </c>
      <c r="H655" s="1" t="s">
        <v>865</v>
      </c>
      <c r="I655" s="1" t="s">
        <v>224</v>
      </c>
      <c r="J655" s="1" t="s">
        <v>125</v>
      </c>
      <c r="K655" s="1" t="s">
        <v>109</v>
      </c>
      <c r="L655" s="1">
        <v>1858265</v>
      </c>
      <c r="M655" s="1" t="s">
        <v>875</v>
      </c>
      <c r="N655" s="5">
        <f>DATE(2014,2,17)</f>
        <v>41687</v>
      </c>
      <c r="O655" s="5">
        <f>DATE(2016,12,16)</f>
        <v>42720</v>
      </c>
      <c r="P655" s="5">
        <f t="shared" si="231"/>
        <v>43815</v>
      </c>
      <c r="Q655" s="1">
        <v>2160</v>
      </c>
      <c r="R655" s="1">
        <v>1600</v>
      </c>
      <c r="S655" s="1">
        <f t="shared" si="232"/>
        <v>1600</v>
      </c>
      <c r="T655" s="1">
        <v>1</v>
      </c>
      <c r="U655" s="1" t="str">
        <f t="shared" si="233"/>
        <v>NÃO</v>
      </c>
      <c r="V655" s="1">
        <f t="shared" si="234"/>
        <v>1034</v>
      </c>
      <c r="W655" s="4">
        <f t="shared" si="235"/>
        <v>1.5473887814313345</v>
      </c>
      <c r="X655" s="4">
        <f t="shared" si="236"/>
        <v>564.79690522243709</v>
      </c>
      <c r="Y655" s="4">
        <f t="shared" si="237"/>
        <v>0.70599613152804641</v>
      </c>
      <c r="AB655" s="5">
        <f t="shared" si="238"/>
        <v>45292</v>
      </c>
      <c r="AC655" s="5">
        <f t="shared" si="239"/>
        <v>45657</v>
      </c>
      <c r="AE655" s="1">
        <f t="shared" si="240"/>
        <v>0</v>
      </c>
      <c r="AF655" s="1">
        <f t="shared" si="241"/>
        <v>0</v>
      </c>
      <c r="AG655" s="1">
        <f t="shared" si="242"/>
        <v>0</v>
      </c>
      <c r="AH655" s="1">
        <f t="shared" si="243"/>
        <v>0</v>
      </c>
      <c r="AI655" s="1">
        <f t="shared" si="244"/>
        <v>183</v>
      </c>
      <c r="AJ655" s="3">
        <f t="shared" si="245"/>
        <v>0.5</v>
      </c>
      <c r="AK655" s="3">
        <f t="shared" si="246"/>
        <v>0.35299806576402321</v>
      </c>
      <c r="AL655" s="3">
        <f t="shared" si="247"/>
        <v>0</v>
      </c>
      <c r="AM655" s="3">
        <f t="shared" si="248"/>
        <v>0</v>
      </c>
      <c r="AN655" s="3">
        <f t="shared" si="249"/>
        <v>0</v>
      </c>
      <c r="AO655" s="3">
        <f t="shared" si="250"/>
        <v>0</v>
      </c>
      <c r="AP655" s="1" t="str">
        <f>INDEX({"EAD";"EAD";"EAD";"EAD MOOC";"EAD";"EAD";"EAD FP";"EAD";"PRESENCIAL";"PRESENCIAL";"PRESENCIAL";"PRESENCIAL"}, MATCH(CONCATENATE(E655, ".", F655),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56" spans="1:42" x14ac:dyDescent="0.25">
      <c r="A656" s="1" t="s">
        <v>27</v>
      </c>
      <c r="B656" s="1" t="s">
        <v>43</v>
      </c>
      <c r="C656" s="1" t="s">
        <v>29</v>
      </c>
      <c r="D656" s="1" t="s">
        <v>45</v>
      </c>
      <c r="E656" s="1" t="s">
        <v>120</v>
      </c>
      <c r="F656" s="1" t="s">
        <v>21</v>
      </c>
      <c r="G656" s="1" t="s">
        <v>128</v>
      </c>
      <c r="H656" s="1" t="s">
        <v>227</v>
      </c>
      <c r="I656" s="1" t="s">
        <v>228</v>
      </c>
      <c r="J656" s="1" t="s">
        <v>125</v>
      </c>
      <c r="K656" s="1" t="s">
        <v>163</v>
      </c>
      <c r="L656" s="1">
        <v>1858267</v>
      </c>
      <c r="M656" s="1" t="s">
        <v>876</v>
      </c>
      <c r="N656" s="5">
        <f>DATE(2014,2,17)</f>
        <v>41687</v>
      </c>
      <c r="O656" s="5">
        <f>DATE(2015,12,18)</f>
        <v>42356</v>
      </c>
      <c r="P656" s="5">
        <f t="shared" si="231"/>
        <v>43451</v>
      </c>
      <c r="Q656" s="1">
        <v>1224</v>
      </c>
      <c r="R656" s="1">
        <v>1200</v>
      </c>
      <c r="S656" s="1">
        <f t="shared" si="232"/>
        <v>1200</v>
      </c>
      <c r="T656" s="1">
        <v>2.5</v>
      </c>
      <c r="U656" s="1" t="str">
        <f t="shared" si="233"/>
        <v>NÃO</v>
      </c>
      <c r="V656" s="1">
        <f t="shared" si="234"/>
        <v>670</v>
      </c>
      <c r="W656" s="4">
        <f t="shared" si="235"/>
        <v>1.791044776119403</v>
      </c>
      <c r="X656" s="4">
        <f t="shared" si="236"/>
        <v>653.73134328358208</v>
      </c>
      <c r="Y656" s="4">
        <f t="shared" si="237"/>
        <v>0.81716417910447758</v>
      </c>
      <c r="AB656" s="5">
        <f t="shared" si="238"/>
        <v>45292</v>
      </c>
      <c r="AC656" s="5">
        <f t="shared" si="239"/>
        <v>45657</v>
      </c>
      <c r="AE656" s="1">
        <f t="shared" si="240"/>
        <v>0</v>
      </c>
      <c r="AF656" s="1">
        <f t="shared" si="241"/>
        <v>0</v>
      </c>
      <c r="AG656" s="1">
        <f t="shared" si="242"/>
        <v>0</v>
      </c>
      <c r="AH656" s="1">
        <f t="shared" si="243"/>
        <v>0</v>
      </c>
      <c r="AI656" s="1">
        <f t="shared" si="244"/>
        <v>183</v>
      </c>
      <c r="AJ656" s="3">
        <f t="shared" si="245"/>
        <v>0.5</v>
      </c>
      <c r="AK656" s="3">
        <f t="shared" si="246"/>
        <v>0.40858208955223879</v>
      </c>
      <c r="AL656" s="3">
        <f t="shared" si="247"/>
        <v>0</v>
      </c>
      <c r="AM656" s="3">
        <f t="shared" si="248"/>
        <v>0</v>
      </c>
      <c r="AN656" s="3">
        <f t="shared" si="249"/>
        <v>0</v>
      </c>
      <c r="AO656" s="3">
        <f t="shared" si="250"/>
        <v>0</v>
      </c>
      <c r="AP656" s="1" t="str">
        <f>INDEX({"EAD";"EAD";"EAD";"EAD MOOC";"EAD";"EAD";"EAD FP";"EAD";"PRESENCIAL";"PRESENCIAL";"PRESENCIAL";"PRESENCIAL"}, MATCH(CONCATENATE(E656, ".", F656),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57" spans="1:42" x14ac:dyDescent="0.25">
      <c r="A657" s="1" t="s">
        <v>27</v>
      </c>
      <c r="B657" s="1" t="s">
        <v>43</v>
      </c>
      <c r="C657" s="1" t="s">
        <v>29</v>
      </c>
      <c r="D657" s="1" t="s">
        <v>45</v>
      </c>
      <c r="E657" s="1" t="s">
        <v>170</v>
      </c>
      <c r="F657" s="1" t="s">
        <v>510</v>
      </c>
      <c r="G657" s="1" t="s">
        <v>278</v>
      </c>
      <c r="H657" s="1" t="s">
        <v>279</v>
      </c>
      <c r="I657" s="1" t="s">
        <v>172</v>
      </c>
      <c r="J657" s="1" t="s">
        <v>125</v>
      </c>
      <c r="K657" s="1" t="s">
        <v>109</v>
      </c>
      <c r="L657" s="1">
        <v>1951901</v>
      </c>
      <c r="M657" s="1" t="s">
        <v>877</v>
      </c>
      <c r="N657" s="5">
        <f>DATE(2014,6,25)</f>
        <v>41815</v>
      </c>
      <c r="O657" s="5">
        <f>DATE(2017,6,23)</f>
        <v>42909</v>
      </c>
      <c r="P657" s="5">
        <f t="shared" si="231"/>
        <v>44004</v>
      </c>
      <c r="Q657" s="1">
        <v>2980</v>
      </c>
      <c r="R657" s="1">
        <v>3200</v>
      </c>
      <c r="S657" s="1">
        <f t="shared" si="232"/>
        <v>3200</v>
      </c>
      <c r="T657" s="1">
        <v>2.5</v>
      </c>
      <c r="U657" s="1" t="str">
        <f t="shared" si="233"/>
        <v>NÃO</v>
      </c>
      <c r="V657" s="1">
        <f t="shared" si="234"/>
        <v>1095</v>
      </c>
      <c r="W657" s="4">
        <f t="shared" si="235"/>
        <v>2.7214611872146119</v>
      </c>
      <c r="X657" s="4">
        <f t="shared" si="236"/>
        <v>993.33333333333337</v>
      </c>
      <c r="Y657" s="4">
        <f t="shared" si="237"/>
        <v>1.2416666666666667</v>
      </c>
      <c r="AB657" s="5">
        <f t="shared" si="238"/>
        <v>45292</v>
      </c>
      <c r="AC657" s="5">
        <f t="shared" si="239"/>
        <v>45657</v>
      </c>
      <c r="AD657" s="1">
        <v>1</v>
      </c>
      <c r="AE657" s="1">
        <f t="shared" si="240"/>
        <v>0</v>
      </c>
      <c r="AF657" s="1">
        <f t="shared" si="241"/>
        <v>0</v>
      </c>
      <c r="AG657" s="1">
        <f t="shared" si="242"/>
        <v>0</v>
      </c>
      <c r="AH657" s="1">
        <f t="shared" si="243"/>
        <v>0</v>
      </c>
      <c r="AI657" s="1">
        <f t="shared" si="244"/>
        <v>183</v>
      </c>
      <c r="AJ657" s="3">
        <f t="shared" si="245"/>
        <v>0.5</v>
      </c>
      <c r="AK657" s="3">
        <f t="shared" si="246"/>
        <v>0.62083333333333335</v>
      </c>
      <c r="AL657" s="3">
        <f t="shared" si="247"/>
        <v>0</v>
      </c>
      <c r="AM657" s="3">
        <f t="shared" si="248"/>
        <v>0</v>
      </c>
      <c r="AN657" s="3">
        <f t="shared" si="249"/>
        <v>0</v>
      </c>
      <c r="AO657" s="3">
        <f t="shared" si="250"/>
        <v>0</v>
      </c>
      <c r="AP657" s="1" t="str">
        <f>INDEX({"EAD";"EAD";"EAD";"EAD MOOC";"EAD";"EAD";"EAD FP";"EAD";"PRESENCIAL";"PRESENCIAL";"PRESENCIAL";"PRESENCIAL"}, MATCH(CONCATENATE(E657, ".", F657),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58" spans="1:42" x14ac:dyDescent="0.25">
      <c r="A658" s="1" t="s">
        <v>27</v>
      </c>
      <c r="B658" s="1" t="s">
        <v>43</v>
      </c>
      <c r="C658" s="1" t="s">
        <v>29</v>
      </c>
      <c r="D658" s="1" t="s">
        <v>45</v>
      </c>
      <c r="E658" s="1" t="s">
        <v>170</v>
      </c>
      <c r="F658" s="1" t="s">
        <v>510</v>
      </c>
      <c r="G658" s="1" t="s">
        <v>278</v>
      </c>
      <c r="H658" s="1" t="s">
        <v>279</v>
      </c>
      <c r="I658" s="1" t="s">
        <v>172</v>
      </c>
      <c r="J658" s="1" t="s">
        <v>125</v>
      </c>
      <c r="K658" s="1" t="s">
        <v>109</v>
      </c>
      <c r="L658" s="1">
        <v>1951903</v>
      </c>
      <c r="M658" s="1" t="s">
        <v>877</v>
      </c>
      <c r="N658" s="5">
        <f>DATE(2014,6,25)</f>
        <v>41815</v>
      </c>
      <c r="O658" s="5">
        <f>DATE(2017,6,23)</f>
        <v>42909</v>
      </c>
      <c r="P658" s="5">
        <f t="shared" si="231"/>
        <v>44004</v>
      </c>
      <c r="Q658" s="1">
        <v>2980</v>
      </c>
      <c r="R658" s="1">
        <v>3200</v>
      </c>
      <c r="S658" s="1">
        <f t="shared" si="232"/>
        <v>3200</v>
      </c>
      <c r="T658" s="1">
        <v>2.5</v>
      </c>
      <c r="U658" s="1" t="str">
        <f t="shared" si="233"/>
        <v>NÃO</v>
      </c>
      <c r="V658" s="1">
        <f t="shared" si="234"/>
        <v>1095</v>
      </c>
      <c r="W658" s="4">
        <f t="shared" si="235"/>
        <v>2.7214611872146119</v>
      </c>
      <c r="X658" s="4">
        <f t="shared" si="236"/>
        <v>993.33333333333337</v>
      </c>
      <c r="Y658" s="4">
        <f t="shared" si="237"/>
        <v>1.2416666666666667</v>
      </c>
      <c r="AB658" s="5">
        <f t="shared" si="238"/>
        <v>45292</v>
      </c>
      <c r="AC658" s="5">
        <f t="shared" si="239"/>
        <v>45657</v>
      </c>
      <c r="AD658" s="1">
        <v>2</v>
      </c>
      <c r="AE658" s="1">
        <f t="shared" si="240"/>
        <v>0</v>
      </c>
      <c r="AF658" s="1">
        <f t="shared" si="241"/>
        <v>0</v>
      </c>
      <c r="AG658" s="1">
        <f t="shared" si="242"/>
        <v>0</v>
      </c>
      <c r="AH658" s="1">
        <f t="shared" si="243"/>
        <v>0</v>
      </c>
      <c r="AI658" s="1">
        <f t="shared" si="244"/>
        <v>183</v>
      </c>
      <c r="AJ658" s="3">
        <f t="shared" si="245"/>
        <v>0.5</v>
      </c>
      <c r="AK658" s="3">
        <f t="shared" si="246"/>
        <v>0.62083333333333335</v>
      </c>
      <c r="AL658" s="3">
        <f t="shared" si="247"/>
        <v>0</v>
      </c>
      <c r="AM658" s="3">
        <f t="shared" si="248"/>
        <v>0</v>
      </c>
      <c r="AN658" s="3">
        <f t="shared" si="249"/>
        <v>0</v>
      </c>
      <c r="AO658" s="3">
        <f t="shared" si="250"/>
        <v>0</v>
      </c>
      <c r="AP658" s="1" t="str">
        <f>INDEX({"EAD";"EAD";"EAD";"EAD MOOC";"EAD";"EAD";"EAD FP";"EAD";"PRESENCIAL";"PRESENCIAL";"PRESENCIAL";"PRESENCIAL"}, MATCH(CONCATENATE(E658, ".", F658),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59" spans="1:42" x14ac:dyDescent="0.25">
      <c r="A659" s="1" t="s">
        <v>27</v>
      </c>
      <c r="B659" s="1" t="s">
        <v>43</v>
      </c>
      <c r="C659" s="1" t="s">
        <v>29</v>
      </c>
      <c r="D659" s="1" t="s">
        <v>45</v>
      </c>
      <c r="E659" s="1" t="s">
        <v>120</v>
      </c>
      <c r="F659" s="1" t="s">
        <v>21</v>
      </c>
      <c r="G659" s="1" t="s">
        <v>128</v>
      </c>
      <c r="H659" s="1" t="s">
        <v>227</v>
      </c>
      <c r="I659" s="1" t="s">
        <v>228</v>
      </c>
      <c r="J659" s="1" t="s">
        <v>125</v>
      </c>
      <c r="K659" s="1" t="s">
        <v>163</v>
      </c>
      <c r="L659" s="1">
        <v>1960543</v>
      </c>
      <c r="M659" s="1" t="s">
        <v>878</v>
      </c>
      <c r="N659" s="5">
        <f>DATE(2014,9,1)</f>
        <v>41883</v>
      </c>
      <c r="O659" s="5">
        <f>DATE(2016,7,20)</f>
        <v>42571</v>
      </c>
      <c r="P659" s="5">
        <f t="shared" si="231"/>
        <v>43666</v>
      </c>
      <c r="Q659" s="1">
        <v>1224</v>
      </c>
      <c r="R659" s="1">
        <v>1200</v>
      </c>
      <c r="S659" s="1">
        <f t="shared" si="232"/>
        <v>1200</v>
      </c>
      <c r="T659" s="1">
        <v>2.5</v>
      </c>
      <c r="U659" s="1" t="str">
        <f t="shared" si="233"/>
        <v>NÃO</v>
      </c>
      <c r="V659" s="1">
        <f t="shared" si="234"/>
        <v>689</v>
      </c>
      <c r="W659" s="4">
        <f t="shared" si="235"/>
        <v>1.741654571843251</v>
      </c>
      <c r="X659" s="4">
        <f t="shared" si="236"/>
        <v>635.70391872278663</v>
      </c>
      <c r="Y659" s="4">
        <f t="shared" si="237"/>
        <v>0.7946298984034833</v>
      </c>
      <c r="AB659" s="5">
        <f t="shared" si="238"/>
        <v>45292</v>
      </c>
      <c r="AC659" s="5">
        <f t="shared" si="239"/>
        <v>45657</v>
      </c>
      <c r="AE659" s="1">
        <f t="shared" si="240"/>
        <v>0</v>
      </c>
      <c r="AF659" s="1">
        <f t="shared" si="241"/>
        <v>0</v>
      </c>
      <c r="AG659" s="1">
        <f t="shared" si="242"/>
        <v>0</v>
      </c>
      <c r="AH659" s="1">
        <f t="shared" si="243"/>
        <v>0</v>
      </c>
      <c r="AI659" s="1">
        <f t="shared" si="244"/>
        <v>183</v>
      </c>
      <c r="AJ659" s="3">
        <f t="shared" si="245"/>
        <v>0.5</v>
      </c>
      <c r="AK659" s="3">
        <f t="shared" si="246"/>
        <v>0.39731494920174165</v>
      </c>
      <c r="AL659" s="3">
        <f t="shared" si="247"/>
        <v>0</v>
      </c>
      <c r="AM659" s="3">
        <f t="shared" si="248"/>
        <v>0</v>
      </c>
      <c r="AN659" s="3">
        <f t="shared" si="249"/>
        <v>0</v>
      </c>
      <c r="AO659" s="3">
        <f t="shared" si="250"/>
        <v>0</v>
      </c>
      <c r="AP659" s="1" t="str">
        <f>INDEX({"EAD";"EAD";"EAD";"EAD MOOC";"EAD";"EAD";"EAD FP";"EAD";"PRESENCIAL";"PRESENCIAL";"PRESENCIAL";"PRESENCIAL"}, MATCH(CONCATENATE(E659, ".", F659),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60" spans="1:42" x14ac:dyDescent="0.25">
      <c r="A660" s="1" t="s">
        <v>27</v>
      </c>
      <c r="B660" s="1" t="s">
        <v>43</v>
      </c>
      <c r="C660" s="1" t="s">
        <v>29</v>
      </c>
      <c r="D660" s="1" t="s">
        <v>45</v>
      </c>
      <c r="E660" s="1" t="s">
        <v>120</v>
      </c>
      <c r="F660" s="1" t="s">
        <v>21</v>
      </c>
      <c r="G660" s="1" t="s">
        <v>140</v>
      </c>
      <c r="H660" s="1" t="s">
        <v>865</v>
      </c>
      <c r="I660" s="1" t="s">
        <v>224</v>
      </c>
      <c r="J660" s="1" t="s">
        <v>125</v>
      </c>
      <c r="K660" s="1" t="s">
        <v>109</v>
      </c>
      <c r="L660" s="1">
        <v>1960546</v>
      </c>
      <c r="M660" s="1" t="s">
        <v>879</v>
      </c>
      <c r="N660" s="5">
        <f>DATE(2014,9,1)</f>
        <v>41883</v>
      </c>
      <c r="O660" s="5">
        <f>DATE(2017,7,20)</f>
        <v>42936</v>
      </c>
      <c r="P660" s="5">
        <f t="shared" si="231"/>
        <v>44031</v>
      </c>
      <c r="Q660" s="1">
        <v>2160</v>
      </c>
      <c r="R660" s="1">
        <v>1600</v>
      </c>
      <c r="S660" s="1">
        <f t="shared" si="232"/>
        <v>1600</v>
      </c>
      <c r="T660" s="1">
        <v>1</v>
      </c>
      <c r="U660" s="1" t="str">
        <f t="shared" si="233"/>
        <v>NÃO</v>
      </c>
      <c r="V660" s="1">
        <f t="shared" si="234"/>
        <v>1054</v>
      </c>
      <c r="W660" s="4">
        <f t="shared" si="235"/>
        <v>1.5180265654648957</v>
      </c>
      <c r="X660" s="4">
        <f t="shared" si="236"/>
        <v>554.07969639468695</v>
      </c>
      <c r="Y660" s="4">
        <f t="shared" si="237"/>
        <v>0.69259962049335866</v>
      </c>
      <c r="AB660" s="5">
        <f t="shared" si="238"/>
        <v>45292</v>
      </c>
      <c r="AC660" s="5">
        <f t="shared" si="239"/>
        <v>45657</v>
      </c>
      <c r="AD660" s="1">
        <v>1</v>
      </c>
      <c r="AE660" s="1">
        <f t="shared" si="240"/>
        <v>0</v>
      </c>
      <c r="AF660" s="1">
        <f t="shared" si="241"/>
        <v>0</v>
      </c>
      <c r="AG660" s="1">
        <f t="shared" si="242"/>
        <v>0</v>
      </c>
      <c r="AH660" s="1">
        <f t="shared" si="243"/>
        <v>0</v>
      </c>
      <c r="AI660" s="1">
        <f t="shared" si="244"/>
        <v>183</v>
      </c>
      <c r="AJ660" s="3">
        <f t="shared" si="245"/>
        <v>0.5</v>
      </c>
      <c r="AK660" s="3">
        <f t="shared" si="246"/>
        <v>0.34629981024667933</v>
      </c>
      <c r="AL660" s="3">
        <f t="shared" si="247"/>
        <v>0</v>
      </c>
      <c r="AM660" s="3">
        <f t="shared" si="248"/>
        <v>0</v>
      </c>
      <c r="AN660" s="3">
        <f t="shared" si="249"/>
        <v>0</v>
      </c>
      <c r="AO660" s="3">
        <f t="shared" si="250"/>
        <v>0</v>
      </c>
      <c r="AP660" s="1" t="str">
        <f>INDEX({"EAD";"EAD";"EAD";"EAD MOOC";"EAD";"EAD";"EAD FP";"EAD";"PRESENCIAL";"PRESENCIAL";"PRESENCIAL";"PRESENCIAL"}, MATCH(CONCATENATE(E660, ".", F660),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61" spans="1:42" x14ac:dyDescent="0.25">
      <c r="A661" s="1" t="s">
        <v>27</v>
      </c>
      <c r="B661" s="1" t="s">
        <v>43</v>
      </c>
      <c r="C661" s="1" t="s">
        <v>29</v>
      </c>
      <c r="D661" s="1" t="s">
        <v>45</v>
      </c>
      <c r="E661" s="1" t="s">
        <v>120</v>
      </c>
      <c r="F661" s="1" t="s">
        <v>21</v>
      </c>
      <c r="G661" s="1" t="s">
        <v>121</v>
      </c>
      <c r="H661" s="1" t="s">
        <v>869</v>
      </c>
      <c r="I661" s="1" t="s">
        <v>228</v>
      </c>
      <c r="J661" s="1" t="s">
        <v>125</v>
      </c>
      <c r="K661" s="1" t="s">
        <v>109</v>
      </c>
      <c r="L661" s="1">
        <v>1960549</v>
      </c>
      <c r="M661" s="1" t="s">
        <v>880</v>
      </c>
      <c r="N661" s="5">
        <f>DATE(2014,9,1)</f>
        <v>41883</v>
      </c>
      <c r="O661" s="5">
        <f>DATE(2019,7,22)</f>
        <v>43668</v>
      </c>
      <c r="P661" s="5">
        <f t="shared" si="231"/>
        <v>44763</v>
      </c>
      <c r="Q661" s="1">
        <v>4020</v>
      </c>
      <c r="R661" s="1">
        <v>3600</v>
      </c>
      <c r="S661" s="1">
        <f t="shared" si="232"/>
        <v>3600</v>
      </c>
      <c r="T661" s="1">
        <v>2.5</v>
      </c>
      <c r="U661" s="1" t="str">
        <f t="shared" si="233"/>
        <v>NÃO</v>
      </c>
      <c r="V661" s="1">
        <f t="shared" si="234"/>
        <v>1786</v>
      </c>
      <c r="W661" s="4">
        <f t="shared" si="235"/>
        <v>2.0156774916013438</v>
      </c>
      <c r="X661" s="4">
        <f t="shared" si="236"/>
        <v>735.72228443449046</v>
      </c>
      <c r="Y661" s="4">
        <f t="shared" si="237"/>
        <v>0.91965285554311305</v>
      </c>
      <c r="AB661" s="5">
        <f t="shared" si="238"/>
        <v>45292</v>
      </c>
      <c r="AC661" s="5">
        <f t="shared" si="239"/>
        <v>45657</v>
      </c>
      <c r="AD661" s="1">
        <v>3</v>
      </c>
      <c r="AE661" s="1">
        <f t="shared" si="240"/>
        <v>0</v>
      </c>
      <c r="AF661" s="1">
        <f t="shared" si="241"/>
        <v>0</v>
      </c>
      <c r="AG661" s="1">
        <f t="shared" si="242"/>
        <v>0</v>
      </c>
      <c r="AH661" s="1">
        <f t="shared" si="243"/>
        <v>0</v>
      </c>
      <c r="AI661" s="1">
        <f t="shared" si="244"/>
        <v>183</v>
      </c>
      <c r="AJ661" s="3">
        <f t="shared" si="245"/>
        <v>0.5</v>
      </c>
      <c r="AK661" s="3">
        <f t="shared" si="246"/>
        <v>0.45982642777155652</v>
      </c>
      <c r="AL661" s="3">
        <f t="shared" si="247"/>
        <v>0</v>
      </c>
      <c r="AM661" s="3">
        <f t="shared" si="248"/>
        <v>0</v>
      </c>
      <c r="AN661" s="3">
        <f t="shared" si="249"/>
        <v>0</v>
      </c>
      <c r="AO661" s="3">
        <f t="shared" si="250"/>
        <v>0</v>
      </c>
      <c r="AP661" s="1" t="str">
        <f>INDEX({"EAD";"EAD";"EAD";"EAD MOOC";"EAD";"EAD";"EAD FP";"EAD";"PRESENCIAL";"PRESENCIAL";"PRESENCIAL";"PRESENCIAL"}, MATCH(CONCATENATE(E661, ".", F661),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62" spans="1:42" x14ac:dyDescent="0.25">
      <c r="A662" s="1" t="s">
        <v>27</v>
      </c>
      <c r="B662" s="1" t="s">
        <v>43</v>
      </c>
      <c r="C662" s="1" t="s">
        <v>29</v>
      </c>
      <c r="D662" s="1" t="s">
        <v>45</v>
      </c>
      <c r="E662" s="1" t="s">
        <v>120</v>
      </c>
      <c r="F662" s="1" t="s">
        <v>21</v>
      </c>
      <c r="G662" s="1" t="s">
        <v>140</v>
      </c>
      <c r="H662" s="1" t="s">
        <v>865</v>
      </c>
      <c r="I662" s="1" t="s">
        <v>224</v>
      </c>
      <c r="J662" s="1" t="s">
        <v>125</v>
      </c>
      <c r="K662" s="1" t="s">
        <v>109</v>
      </c>
      <c r="L662" s="1">
        <v>1975857</v>
      </c>
      <c r="M662" s="1" t="s">
        <v>881</v>
      </c>
      <c r="N662" s="5">
        <f>DATE(2015,2,9)</f>
        <v>42044</v>
      </c>
      <c r="O662" s="5">
        <f>DATE(2017,12,18)</f>
        <v>43087</v>
      </c>
      <c r="P662" s="5">
        <f t="shared" si="231"/>
        <v>44182</v>
      </c>
      <c r="Q662" s="1">
        <v>2160</v>
      </c>
      <c r="R662" s="1">
        <v>1600</v>
      </c>
      <c r="S662" s="1">
        <f t="shared" si="232"/>
        <v>1600</v>
      </c>
      <c r="T662" s="1">
        <v>1</v>
      </c>
      <c r="U662" s="1" t="str">
        <f t="shared" si="233"/>
        <v>NÃO</v>
      </c>
      <c r="V662" s="1">
        <f t="shared" si="234"/>
        <v>1044</v>
      </c>
      <c r="W662" s="4">
        <f t="shared" si="235"/>
        <v>1.5325670498084292</v>
      </c>
      <c r="X662" s="4">
        <f t="shared" si="236"/>
        <v>559.38697318007667</v>
      </c>
      <c r="Y662" s="4">
        <f t="shared" si="237"/>
        <v>0.6992337164750958</v>
      </c>
      <c r="AB662" s="5">
        <f t="shared" si="238"/>
        <v>45292</v>
      </c>
      <c r="AC662" s="5">
        <f t="shared" si="239"/>
        <v>45657</v>
      </c>
      <c r="AE662" s="1">
        <f t="shared" si="240"/>
        <v>0</v>
      </c>
      <c r="AF662" s="1">
        <f t="shared" si="241"/>
        <v>0</v>
      </c>
      <c r="AG662" s="1">
        <f t="shared" si="242"/>
        <v>0</v>
      </c>
      <c r="AH662" s="1">
        <f t="shared" si="243"/>
        <v>0</v>
      </c>
      <c r="AI662" s="1">
        <f t="shared" si="244"/>
        <v>183</v>
      </c>
      <c r="AJ662" s="3">
        <f t="shared" si="245"/>
        <v>0.5</v>
      </c>
      <c r="AK662" s="3">
        <f t="shared" si="246"/>
        <v>0.3496168582375479</v>
      </c>
      <c r="AL662" s="3">
        <f t="shared" si="247"/>
        <v>0</v>
      </c>
      <c r="AM662" s="3">
        <f t="shared" si="248"/>
        <v>0</v>
      </c>
      <c r="AN662" s="3">
        <f t="shared" si="249"/>
        <v>0</v>
      </c>
      <c r="AO662" s="3">
        <f t="shared" si="250"/>
        <v>0</v>
      </c>
      <c r="AP662" s="1" t="str">
        <f>INDEX({"EAD";"EAD";"EAD";"EAD MOOC";"EAD";"EAD";"EAD FP";"EAD";"PRESENCIAL";"PRESENCIAL";"PRESENCIAL";"PRESENCIAL"}, MATCH(CONCATENATE(E662, ".", F662),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63" spans="1:42" x14ac:dyDescent="0.25">
      <c r="A663" s="1" t="s">
        <v>27</v>
      </c>
      <c r="B663" s="1" t="s">
        <v>43</v>
      </c>
      <c r="C663" s="1" t="s">
        <v>29</v>
      </c>
      <c r="D663" s="1" t="s">
        <v>45</v>
      </c>
      <c r="E663" s="1" t="s">
        <v>170</v>
      </c>
      <c r="F663" s="1" t="s">
        <v>510</v>
      </c>
      <c r="G663" s="1" t="s">
        <v>278</v>
      </c>
      <c r="H663" s="1" t="s">
        <v>279</v>
      </c>
      <c r="I663" s="1" t="s">
        <v>172</v>
      </c>
      <c r="J663" s="1" t="s">
        <v>125</v>
      </c>
      <c r="K663" s="1" t="s">
        <v>109</v>
      </c>
      <c r="L663" s="1">
        <v>2031517</v>
      </c>
      <c r="M663" s="1" t="s">
        <v>882</v>
      </c>
      <c r="N663" s="5">
        <f>DATE(2015,8,3)</f>
        <v>42219</v>
      </c>
      <c r="O663" s="5">
        <f>DATE(2018,6,29)</f>
        <v>43280</v>
      </c>
      <c r="P663" s="5">
        <f t="shared" si="231"/>
        <v>44375</v>
      </c>
      <c r="Q663" s="1">
        <v>2980</v>
      </c>
      <c r="R663" s="1">
        <v>3200</v>
      </c>
      <c r="S663" s="1">
        <f t="shared" si="232"/>
        <v>3200</v>
      </c>
      <c r="T663" s="1">
        <v>2.5</v>
      </c>
      <c r="U663" s="1" t="str">
        <f t="shared" si="233"/>
        <v>NÃO</v>
      </c>
      <c r="V663" s="1">
        <f t="shared" si="234"/>
        <v>1062</v>
      </c>
      <c r="W663" s="4">
        <f t="shared" si="235"/>
        <v>2.8060263653483992</v>
      </c>
      <c r="X663" s="4">
        <f t="shared" si="236"/>
        <v>1024.1996233521656</v>
      </c>
      <c r="Y663" s="4">
        <f t="shared" si="237"/>
        <v>1.280249529190207</v>
      </c>
      <c r="AB663" s="5">
        <f t="shared" si="238"/>
        <v>45292</v>
      </c>
      <c r="AC663" s="5">
        <f t="shared" si="239"/>
        <v>45657</v>
      </c>
      <c r="AD663" s="1">
        <v>4</v>
      </c>
      <c r="AE663" s="1">
        <f t="shared" si="240"/>
        <v>0</v>
      </c>
      <c r="AF663" s="1">
        <f t="shared" si="241"/>
        <v>0</v>
      </c>
      <c r="AG663" s="1">
        <f t="shared" si="242"/>
        <v>0</v>
      </c>
      <c r="AH663" s="1">
        <f t="shared" si="243"/>
        <v>0</v>
      </c>
      <c r="AI663" s="1">
        <f t="shared" si="244"/>
        <v>183</v>
      </c>
      <c r="AJ663" s="3">
        <f t="shared" si="245"/>
        <v>0.5</v>
      </c>
      <c r="AK663" s="3">
        <f t="shared" si="246"/>
        <v>0.64012476459510348</v>
      </c>
      <c r="AL663" s="3">
        <f t="shared" si="247"/>
        <v>0</v>
      </c>
      <c r="AM663" s="3">
        <f t="shared" si="248"/>
        <v>0</v>
      </c>
      <c r="AN663" s="3">
        <f t="shared" si="249"/>
        <v>0</v>
      </c>
      <c r="AO663" s="3">
        <f t="shared" si="250"/>
        <v>0</v>
      </c>
      <c r="AP663" s="1" t="str">
        <f>INDEX({"EAD";"EAD";"EAD";"EAD MOOC";"EAD";"EAD";"EAD FP";"EAD";"PRESENCIAL";"PRESENCIAL";"PRESENCIAL";"PRESENCIAL"}, MATCH(CONCATENATE(E663, ".", F663),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64" spans="1:42" x14ac:dyDescent="0.25">
      <c r="A664" s="1" t="s">
        <v>27</v>
      </c>
      <c r="B664" s="1" t="s">
        <v>43</v>
      </c>
      <c r="C664" s="1" t="s">
        <v>29</v>
      </c>
      <c r="D664" s="1" t="s">
        <v>45</v>
      </c>
      <c r="E664" s="1" t="s">
        <v>170</v>
      </c>
      <c r="F664" s="1" t="s">
        <v>510</v>
      </c>
      <c r="G664" s="1" t="s">
        <v>278</v>
      </c>
      <c r="H664" s="1" t="s">
        <v>279</v>
      </c>
      <c r="I664" s="1" t="s">
        <v>172</v>
      </c>
      <c r="J664" s="1" t="s">
        <v>125</v>
      </c>
      <c r="K664" s="1" t="s">
        <v>109</v>
      </c>
      <c r="L664" s="1">
        <v>2031519</v>
      </c>
      <c r="M664" s="1" t="s">
        <v>882</v>
      </c>
      <c r="N664" s="5">
        <f>DATE(2015,8,3)</f>
        <v>42219</v>
      </c>
      <c r="O664" s="5">
        <f>DATE(2018,6,29)</f>
        <v>43280</v>
      </c>
      <c r="P664" s="5">
        <f t="shared" si="231"/>
        <v>44375</v>
      </c>
      <c r="Q664" s="1">
        <v>2980</v>
      </c>
      <c r="R664" s="1">
        <v>3200</v>
      </c>
      <c r="S664" s="1">
        <f t="shared" si="232"/>
        <v>3200</v>
      </c>
      <c r="T664" s="1">
        <v>2.5</v>
      </c>
      <c r="U664" s="1" t="str">
        <f t="shared" si="233"/>
        <v>NÃO</v>
      </c>
      <c r="V664" s="1">
        <f t="shared" si="234"/>
        <v>1062</v>
      </c>
      <c r="W664" s="4">
        <f t="shared" si="235"/>
        <v>2.8060263653483992</v>
      </c>
      <c r="X664" s="4">
        <f t="shared" si="236"/>
        <v>1024.1996233521656</v>
      </c>
      <c r="Y664" s="4">
        <f t="shared" si="237"/>
        <v>1.280249529190207</v>
      </c>
      <c r="AB664" s="5">
        <f t="shared" si="238"/>
        <v>45292</v>
      </c>
      <c r="AC664" s="5">
        <f t="shared" si="239"/>
        <v>45657</v>
      </c>
      <c r="AD664" s="1">
        <v>2</v>
      </c>
      <c r="AE664" s="1">
        <f t="shared" si="240"/>
        <v>0</v>
      </c>
      <c r="AF664" s="1">
        <f t="shared" si="241"/>
        <v>0</v>
      </c>
      <c r="AG664" s="1">
        <f t="shared" si="242"/>
        <v>0</v>
      </c>
      <c r="AH664" s="1">
        <f t="shared" si="243"/>
        <v>0</v>
      </c>
      <c r="AI664" s="1">
        <f t="shared" si="244"/>
        <v>183</v>
      </c>
      <c r="AJ664" s="3">
        <f t="shared" si="245"/>
        <v>0.5</v>
      </c>
      <c r="AK664" s="3">
        <f t="shared" si="246"/>
        <v>0.64012476459510348</v>
      </c>
      <c r="AL664" s="3">
        <f t="shared" si="247"/>
        <v>0</v>
      </c>
      <c r="AM664" s="3">
        <f t="shared" si="248"/>
        <v>0</v>
      </c>
      <c r="AN664" s="3">
        <f t="shared" si="249"/>
        <v>0</v>
      </c>
      <c r="AO664" s="3">
        <f t="shared" si="250"/>
        <v>0</v>
      </c>
      <c r="AP664" s="1" t="str">
        <f>INDEX({"EAD";"EAD";"EAD";"EAD MOOC";"EAD";"EAD";"EAD FP";"EAD";"PRESENCIAL";"PRESENCIAL";"PRESENCIAL";"PRESENCIAL"}, MATCH(CONCATENATE(E664, ".", F664),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65" spans="1:42" x14ac:dyDescent="0.25">
      <c r="A665" s="1" t="s">
        <v>27</v>
      </c>
      <c r="B665" s="1" t="s">
        <v>43</v>
      </c>
      <c r="C665" s="1" t="s">
        <v>29</v>
      </c>
      <c r="D665" s="1" t="s">
        <v>45</v>
      </c>
      <c r="E665" s="1" t="s">
        <v>170</v>
      </c>
      <c r="F665" s="1" t="s">
        <v>510</v>
      </c>
      <c r="G665" s="1" t="s">
        <v>278</v>
      </c>
      <c r="H665" s="1" t="s">
        <v>279</v>
      </c>
      <c r="I665" s="1" t="s">
        <v>172</v>
      </c>
      <c r="J665" s="1" t="s">
        <v>125</v>
      </c>
      <c r="K665" s="1" t="s">
        <v>109</v>
      </c>
      <c r="L665" s="1">
        <v>2031520</v>
      </c>
      <c r="M665" s="1" t="s">
        <v>882</v>
      </c>
      <c r="N665" s="5">
        <f>DATE(2015,8,3)</f>
        <v>42219</v>
      </c>
      <c r="O665" s="5">
        <f>DATE(2018,6,29)</f>
        <v>43280</v>
      </c>
      <c r="P665" s="5">
        <f t="shared" si="231"/>
        <v>44375</v>
      </c>
      <c r="Q665" s="1">
        <v>2980</v>
      </c>
      <c r="R665" s="1">
        <v>3200</v>
      </c>
      <c r="S665" s="1">
        <f t="shared" si="232"/>
        <v>3200</v>
      </c>
      <c r="T665" s="1">
        <v>2.5</v>
      </c>
      <c r="U665" s="1" t="str">
        <f t="shared" si="233"/>
        <v>NÃO</v>
      </c>
      <c r="V665" s="1">
        <f t="shared" si="234"/>
        <v>1062</v>
      </c>
      <c r="W665" s="4">
        <f t="shared" si="235"/>
        <v>2.8060263653483992</v>
      </c>
      <c r="X665" s="4">
        <f t="shared" si="236"/>
        <v>1024.1996233521656</v>
      </c>
      <c r="Y665" s="4">
        <f t="shared" si="237"/>
        <v>1.280249529190207</v>
      </c>
      <c r="AB665" s="5">
        <f t="shared" si="238"/>
        <v>45292</v>
      </c>
      <c r="AC665" s="5">
        <f t="shared" si="239"/>
        <v>45657</v>
      </c>
      <c r="AD665" s="1">
        <v>3</v>
      </c>
      <c r="AE665" s="1">
        <f t="shared" si="240"/>
        <v>0</v>
      </c>
      <c r="AF665" s="1">
        <f t="shared" si="241"/>
        <v>0</v>
      </c>
      <c r="AG665" s="1">
        <f t="shared" si="242"/>
        <v>0</v>
      </c>
      <c r="AH665" s="1">
        <f t="shared" si="243"/>
        <v>0</v>
      </c>
      <c r="AI665" s="1">
        <f t="shared" si="244"/>
        <v>183</v>
      </c>
      <c r="AJ665" s="3">
        <f t="shared" si="245"/>
        <v>0.5</v>
      </c>
      <c r="AK665" s="3">
        <f t="shared" si="246"/>
        <v>0.64012476459510348</v>
      </c>
      <c r="AL665" s="3">
        <f t="shared" si="247"/>
        <v>0</v>
      </c>
      <c r="AM665" s="3">
        <f t="shared" si="248"/>
        <v>0</v>
      </c>
      <c r="AN665" s="3">
        <f t="shared" si="249"/>
        <v>0</v>
      </c>
      <c r="AO665" s="3">
        <f t="shared" si="250"/>
        <v>0</v>
      </c>
      <c r="AP665" s="1" t="str">
        <f>INDEX({"EAD";"EAD";"EAD";"EAD MOOC";"EAD";"EAD";"EAD FP";"EAD";"PRESENCIAL";"PRESENCIAL";"PRESENCIAL";"PRESENCIAL"}, MATCH(CONCATENATE(E665, ".", F665),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66" spans="1:42" x14ac:dyDescent="0.25">
      <c r="A666" s="1" t="s">
        <v>27</v>
      </c>
      <c r="B666" s="1" t="s">
        <v>43</v>
      </c>
      <c r="C666" s="1" t="s">
        <v>29</v>
      </c>
      <c r="D666" s="1" t="s">
        <v>45</v>
      </c>
      <c r="E666" s="1" t="s">
        <v>170</v>
      </c>
      <c r="F666" s="1" t="s">
        <v>510</v>
      </c>
      <c r="G666" s="1" t="s">
        <v>278</v>
      </c>
      <c r="H666" s="1" t="s">
        <v>279</v>
      </c>
      <c r="I666" s="1" t="s">
        <v>172</v>
      </c>
      <c r="J666" s="1" t="s">
        <v>125</v>
      </c>
      <c r="K666" s="1" t="s">
        <v>109</v>
      </c>
      <c r="L666" s="1">
        <v>2031521</v>
      </c>
      <c r="M666" s="1" t="s">
        <v>882</v>
      </c>
      <c r="N666" s="5">
        <f>DATE(2015,8,3)</f>
        <v>42219</v>
      </c>
      <c r="O666" s="5">
        <f>DATE(2018,6,29)</f>
        <v>43280</v>
      </c>
      <c r="P666" s="5">
        <f t="shared" si="231"/>
        <v>44375</v>
      </c>
      <c r="Q666" s="1">
        <v>2980</v>
      </c>
      <c r="R666" s="1">
        <v>3200</v>
      </c>
      <c r="S666" s="1">
        <f t="shared" si="232"/>
        <v>3200</v>
      </c>
      <c r="T666" s="1">
        <v>2.5</v>
      </c>
      <c r="U666" s="1" t="str">
        <f t="shared" si="233"/>
        <v>NÃO</v>
      </c>
      <c r="V666" s="1">
        <f t="shared" si="234"/>
        <v>1062</v>
      </c>
      <c r="W666" s="4">
        <f t="shared" si="235"/>
        <v>2.8060263653483992</v>
      </c>
      <c r="X666" s="4">
        <f t="shared" si="236"/>
        <v>1024.1996233521656</v>
      </c>
      <c r="Y666" s="4">
        <f t="shared" si="237"/>
        <v>1.280249529190207</v>
      </c>
      <c r="AB666" s="5">
        <f t="shared" si="238"/>
        <v>45292</v>
      </c>
      <c r="AC666" s="5">
        <f t="shared" si="239"/>
        <v>45657</v>
      </c>
      <c r="AE666" s="1">
        <f t="shared" si="240"/>
        <v>0</v>
      </c>
      <c r="AF666" s="1">
        <f t="shared" si="241"/>
        <v>0</v>
      </c>
      <c r="AG666" s="1">
        <f t="shared" si="242"/>
        <v>0</v>
      </c>
      <c r="AH666" s="1">
        <f t="shared" si="243"/>
        <v>0</v>
      </c>
      <c r="AI666" s="1">
        <f t="shared" si="244"/>
        <v>183</v>
      </c>
      <c r="AJ666" s="3">
        <f t="shared" si="245"/>
        <v>0.5</v>
      </c>
      <c r="AK666" s="3">
        <f t="shared" si="246"/>
        <v>0.64012476459510348</v>
      </c>
      <c r="AL666" s="3">
        <f t="shared" si="247"/>
        <v>0</v>
      </c>
      <c r="AM666" s="3">
        <f t="shared" si="248"/>
        <v>0</v>
      </c>
      <c r="AN666" s="3">
        <f t="shared" si="249"/>
        <v>0</v>
      </c>
      <c r="AO666" s="3">
        <f t="shared" si="250"/>
        <v>0</v>
      </c>
      <c r="AP666" s="1" t="str">
        <f>INDEX({"EAD";"EAD";"EAD";"EAD MOOC";"EAD";"EAD";"EAD FP";"EAD";"PRESENCIAL";"PRESENCIAL";"PRESENCIAL";"PRESENCIAL"}, MATCH(CONCATENATE(E666, ".", F666),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67" spans="1:42" x14ac:dyDescent="0.25">
      <c r="A667" s="1" t="s">
        <v>27</v>
      </c>
      <c r="B667" s="1" t="s">
        <v>43</v>
      </c>
      <c r="C667" s="1" t="s">
        <v>29</v>
      </c>
      <c r="D667" s="1" t="s">
        <v>45</v>
      </c>
      <c r="E667" s="1" t="s">
        <v>170</v>
      </c>
      <c r="F667" s="1" t="s">
        <v>510</v>
      </c>
      <c r="G667" s="1" t="s">
        <v>278</v>
      </c>
      <c r="H667" s="1" t="s">
        <v>279</v>
      </c>
      <c r="I667" s="1" t="s">
        <v>172</v>
      </c>
      <c r="J667" s="1" t="s">
        <v>125</v>
      </c>
      <c r="K667" s="1" t="s">
        <v>109</v>
      </c>
      <c r="L667" s="1">
        <v>2031523</v>
      </c>
      <c r="M667" s="1" t="s">
        <v>882</v>
      </c>
      <c r="N667" s="5">
        <f>DATE(2015,8,3)</f>
        <v>42219</v>
      </c>
      <c r="O667" s="5">
        <f>DATE(2018,6,29)</f>
        <v>43280</v>
      </c>
      <c r="P667" s="5">
        <f t="shared" si="231"/>
        <v>44375</v>
      </c>
      <c r="Q667" s="1">
        <v>2980</v>
      </c>
      <c r="R667" s="1">
        <v>3200</v>
      </c>
      <c r="S667" s="1">
        <f t="shared" si="232"/>
        <v>3200</v>
      </c>
      <c r="T667" s="1">
        <v>2.5</v>
      </c>
      <c r="U667" s="1" t="str">
        <f t="shared" si="233"/>
        <v>NÃO</v>
      </c>
      <c r="V667" s="1">
        <f t="shared" si="234"/>
        <v>1062</v>
      </c>
      <c r="W667" s="4">
        <f t="shared" si="235"/>
        <v>2.8060263653483992</v>
      </c>
      <c r="X667" s="4">
        <f t="shared" si="236"/>
        <v>1024.1996233521656</v>
      </c>
      <c r="Y667" s="4">
        <f t="shared" si="237"/>
        <v>1.280249529190207</v>
      </c>
      <c r="AB667" s="5">
        <f t="shared" si="238"/>
        <v>45292</v>
      </c>
      <c r="AC667" s="5">
        <f t="shared" si="239"/>
        <v>45657</v>
      </c>
      <c r="AE667" s="1">
        <f t="shared" si="240"/>
        <v>0</v>
      </c>
      <c r="AF667" s="1">
        <f t="shared" si="241"/>
        <v>0</v>
      </c>
      <c r="AG667" s="1">
        <f t="shared" si="242"/>
        <v>0</v>
      </c>
      <c r="AH667" s="1">
        <f t="shared" si="243"/>
        <v>0</v>
      </c>
      <c r="AI667" s="1">
        <f t="shared" si="244"/>
        <v>183</v>
      </c>
      <c r="AJ667" s="3">
        <f t="shared" si="245"/>
        <v>0.5</v>
      </c>
      <c r="AK667" s="3">
        <f t="shared" si="246"/>
        <v>0.64012476459510348</v>
      </c>
      <c r="AL667" s="3">
        <f t="shared" si="247"/>
        <v>0</v>
      </c>
      <c r="AM667" s="3">
        <f t="shared" si="248"/>
        <v>0</v>
      </c>
      <c r="AN667" s="3">
        <f t="shared" si="249"/>
        <v>0</v>
      </c>
      <c r="AO667" s="3">
        <f t="shared" si="250"/>
        <v>0</v>
      </c>
      <c r="AP667" s="1" t="str">
        <f>INDEX({"EAD";"EAD";"EAD";"EAD MOOC";"EAD";"EAD";"EAD FP";"EAD";"PRESENCIAL";"PRESENCIAL";"PRESENCIAL";"PRESENCIAL"}, MATCH(CONCATENATE(E667, ".", F667),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68" spans="1:42" x14ac:dyDescent="0.25">
      <c r="A668" s="1" t="s">
        <v>27</v>
      </c>
      <c r="B668" s="1" t="s">
        <v>43</v>
      </c>
      <c r="C668" s="1" t="s">
        <v>29</v>
      </c>
      <c r="D668" s="1" t="s">
        <v>45</v>
      </c>
      <c r="E668" s="1" t="s">
        <v>120</v>
      </c>
      <c r="F668" s="1" t="s">
        <v>21</v>
      </c>
      <c r="G668" s="1" t="s">
        <v>140</v>
      </c>
      <c r="H668" s="1" t="s">
        <v>865</v>
      </c>
      <c r="I668" s="1" t="s">
        <v>224</v>
      </c>
      <c r="J668" s="1" t="s">
        <v>125</v>
      </c>
      <c r="K668" s="1" t="s">
        <v>109</v>
      </c>
      <c r="L668" s="1">
        <v>2003908</v>
      </c>
      <c r="M668" s="1" t="s">
        <v>883</v>
      </c>
      <c r="N668" s="5">
        <f>DATE(2015,10,26)</f>
        <v>42303</v>
      </c>
      <c r="O668" s="5">
        <f>DATE(2018,7,27)</f>
        <v>43308</v>
      </c>
      <c r="P668" s="5">
        <f t="shared" si="231"/>
        <v>44403</v>
      </c>
      <c r="Q668" s="1">
        <v>2160</v>
      </c>
      <c r="R668" s="1">
        <v>1600</v>
      </c>
      <c r="S668" s="1">
        <f t="shared" si="232"/>
        <v>1600</v>
      </c>
      <c r="T668" s="1">
        <v>1</v>
      </c>
      <c r="U668" s="1" t="str">
        <f t="shared" si="233"/>
        <v>NÃO</v>
      </c>
      <c r="V668" s="1">
        <f t="shared" si="234"/>
        <v>1006</v>
      </c>
      <c r="W668" s="4">
        <f t="shared" si="235"/>
        <v>1.5904572564612327</v>
      </c>
      <c r="X668" s="4">
        <f t="shared" si="236"/>
        <v>580.51689860834995</v>
      </c>
      <c r="Y668" s="4">
        <f t="shared" si="237"/>
        <v>0.72564612326043743</v>
      </c>
      <c r="AB668" s="5">
        <f t="shared" si="238"/>
        <v>45292</v>
      </c>
      <c r="AC668" s="5">
        <f t="shared" si="239"/>
        <v>45657</v>
      </c>
      <c r="AE668" s="1">
        <f t="shared" si="240"/>
        <v>0</v>
      </c>
      <c r="AF668" s="1">
        <f t="shared" si="241"/>
        <v>0</v>
      </c>
      <c r="AG668" s="1">
        <f t="shared" si="242"/>
        <v>0</v>
      </c>
      <c r="AH668" s="1">
        <f t="shared" si="243"/>
        <v>0</v>
      </c>
      <c r="AI668" s="1">
        <f t="shared" si="244"/>
        <v>183</v>
      </c>
      <c r="AJ668" s="3">
        <f t="shared" si="245"/>
        <v>0.5</v>
      </c>
      <c r="AK668" s="3">
        <f t="shared" si="246"/>
        <v>0.36282306163021871</v>
      </c>
      <c r="AL668" s="3">
        <f t="shared" si="247"/>
        <v>0</v>
      </c>
      <c r="AM668" s="3">
        <f t="shared" si="248"/>
        <v>0</v>
      </c>
      <c r="AN668" s="3">
        <f t="shared" si="249"/>
        <v>0</v>
      </c>
      <c r="AO668" s="3">
        <f t="shared" si="250"/>
        <v>0</v>
      </c>
      <c r="AP668" s="1" t="str">
        <f>INDEX({"EAD";"EAD";"EAD";"EAD MOOC";"EAD";"EAD";"EAD FP";"EAD";"PRESENCIAL";"PRESENCIAL";"PRESENCIAL";"PRESENCIAL"}, MATCH(CONCATENATE(E668, ".", F668),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69" spans="1:42" x14ac:dyDescent="0.25">
      <c r="A669" s="1" t="s">
        <v>27</v>
      </c>
      <c r="B669" s="1" t="s">
        <v>43</v>
      </c>
      <c r="C669" s="1" t="s">
        <v>29</v>
      </c>
      <c r="D669" s="1" t="s">
        <v>45</v>
      </c>
      <c r="E669" s="1" t="s">
        <v>120</v>
      </c>
      <c r="F669" s="1" t="s">
        <v>21</v>
      </c>
      <c r="G669" s="1" t="s">
        <v>128</v>
      </c>
      <c r="H669" s="1" t="s">
        <v>227</v>
      </c>
      <c r="I669" s="1" t="s">
        <v>228</v>
      </c>
      <c r="J669" s="1" t="s">
        <v>125</v>
      </c>
      <c r="K669" s="1" t="s">
        <v>163</v>
      </c>
      <c r="L669" s="1">
        <v>2004026</v>
      </c>
      <c r="M669" s="1" t="s">
        <v>884</v>
      </c>
      <c r="N669" s="5">
        <f>DATE(2015,10,26)</f>
        <v>42303</v>
      </c>
      <c r="O669" s="5">
        <f>DATE(2017,7,28)</f>
        <v>42944</v>
      </c>
      <c r="P669" s="5">
        <f t="shared" si="231"/>
        <v>44039</v>
      </c>
      <c r="Q669" s="1">
        <v>1367</v>
      </c>
      <c r="R669" s="1">
        <v>1200</v>
      </c>
      <c r="S669" s="1">
        <f t="shared" si="232"/>
        <v>1200</v>
      </c>
      <c r="T669" s="1">
        <v>2.5</v>
      </c>
      <c r="U669" s="1" t="str">
        <f t="shared" si="233"/>
        <v>NÃO</v>
      </c>
      <c r="V669" s="1">
        <f t="shared" si="234"/>
        <v>642</v>
      </c>
      <c r="W669" s="4">
        <f t="shared" si="235"/>
        <v>1.8691588785046729</v>
      </c>
      <c r="X669" s="4">
        <f t="shared" si="236"/>
        <v>682.24299065420564</v>
      </c>
      <c r="Y669" s="4">
        <f t="shared" si="237"/>
        <v>0.85280373831775702</v>
      </c>
      <c r="AB669" s="5">
        <f t="shared" si="238"/>
        <v>45292</v>
      </c>
      <c r="AC669" s="5">
        <f t="shared" si="239"/>
        <v>45657</v>
      </c>
      <c r="AE669" s="1">
        <f t="shared" si="240"/>
        <v>0</v>
      </c>
      <c r="AF669" s="1">
        <f t="shared" si="241"/>
        <v>0</v>
      </c>
      <c r="AG669" s="1">
        <f t="shared" si="242"/>
        <v>0</v>
      </c>
      <c r="AH669" s="1">
        <f t="shared" si="243"/>
        <v>0</v>
      </c>
      <c r="AI669" s="1">
        <f t="shared" si="244"/>
        <v>183</v>
      </c>
      <c r="AJ669" s="3">
        <f t="shared" si="245"/>
        <v>0.5</v>
      </c>
      <c r="AK669" s="3">
        <f t="shared" si="246"/>
        <v>0.42640186915887851</v>
      </c>
      <c r="AL669" s="3">
        <f t="shared" si="247"/>
        <v>0</v>
      </c>
      <c r="AM669" s="3">
        <f t="shared" si="248"/>
        <v>0</v>
      </c>
      <c r="AN669" s="3">
        <f t="shared" si="249"/>
        <v>0</v>
      </c>
      <c r="AO669" s="3">
        <f t="shared" si="250"/>
        <v>0</v>
      </c>
      <c r="AP669" s="1" t="str">
        <f>INDEX({"EAD";"EAD";"EAD";"EAD MOOC";"EAD";"EAD";"EAD FP";"EAD";"PRESENCIAL";"PRESENCIAL";"PRESENCIAL";"PRESENCIAL"}, MATCH(CONCATENATE(E669, ".", F669),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70" spans="1:42" x14ac:dyDescent="0.25">
      <c r="A670" s="1" t="s">
        <v>27</v>
      </c>
      <c r="B670" s="1" t="s">
        <v>43</v>
      </c>
      <c r="C670" s="1" t="s">
        <v>29</v>
      </c>
      <c r="D670" s="1" t="s">
        <v>45</v>
      </c>
      <c r="E670" s="1" t="s">
        <v>120</v>
      </c>
      <c r="F670" s="1" t="s">
        <v>21</v>
      </c>
      <c r="G670" s="1" t="s">
        <v>121</v>
      </c>
      <c r="H670" s="1" t="s">
        <v>869</v>
      </c>
      <c r="I670" s="1" t="s">
        <v>228</v>
      </c>
      <c r="J670" s="1" t="s">
        <v>125</v>
      </c>
      <c r="K670" s="1" t="s">
        <v>109</v>
      </c>
      <c r="L670" s="1">
        <v>2021022</v>
      </c>
      <c r="M670" s="1" t="s">
        <v>885</v>
      </c>
      <c r="N670" s="5">
        <f>DATE(2016,4,4)</f>
        <v>42464</v>
      </c>
      <c r="O670" s="5">
        <f>DATE(2020,12,18)</f>
        <v>44183</v>
      </c>
      <c r="P670" s="5">
        <f t="shared" si="231"/>
        <v>45278</v>
      </c>
      <c r="Q670" s="1">
        <v>4020</v>
      </c>
      <c r="R670" s="1">
        <v>3600</v>
      </c>
      <c r="S670" s="1">
        <f t="shared" si="232"/>
        <v>3600</v>
      </c>
      <c r="T670" s="1">
        <v>2.5</v>
      </c>
      <c r="U670" s="1" t="str">
        <f t="shared" si="233"/>
        <v>NÃO</v>
      </c>
      <c r="V670" s="1">
        <f t="shared" si="234"/>
        <v>1720</v>
      </c>
      <c r="W670" s="4">
        <f t="shared" si="235"/>
        <v>2.0930232558139537</v>
      </c>
      <c r="X670" s="4">
        <f t="shared" si="236"/>
        <v>763.95348837209303</v>
      </c>
      <c r="Y670" s="4">
        <f t="shared" si="237"/>
        <v>0.95494186046511631</v>
      </c>
      <c r="AB670" s="5">
        <f t="shared" si="238"/>
        <v>45292</v>
      </c>
      <c r="AC670" s="5">
        <f t="shared" si="239"/>
        <v>45657</v>
      </c>
      <c r="AE670" s="1">
        <f t="shared" si="240"/>
        <v>0</v>
      </c>
      <c r="AF670" s="1">
        <f t="shared" si="241"/>
        <v>0</v>
      </c>
      <c r="AG670" s="1">
        <f t="shared" si="242"/>
        <v>0</v>
      </c>
      <c r="AH670" s="1">
        <f t="shared" si="243"/>
        <v>0</v>
      </c>
      <c r="AI670" s="1">
        <f t="shared" si="244"/>
        <v>183</v>
      </c>
      <c r="AJ670" s="3">
        <f t="shared" si="245"/>
        <v>0.5</v>
      </c>
      <c r="AK670" s="3">
        <f t="shared" si="246"/>
        <v>0.47747093023255816</v>
      </c>
      <c r="AL670" s="3">
        <f t="shared" si="247"/>
        <v>0</v>
      </c>
      <c r="AM670" s="3">
        <f t="shared" si="248"/>
        <v>0</v>
      </c>
      <c r="AN670" s="3">
        <f t="shared" si="249"/>
        <v>0</v>
      </c>
      <c r="AO670" s="3">
        <f t="shared" si="250"/>
        <v>0</v>
      </c>
      <c r="AP670" s="1" t="str">
        <f>INDEX({"EAD";"EAD";"EAD";"EAD MOOC";"EAD";"EAD";"EAD FP";"EAD";"PRESENCIAL";"PRESENCIAL";"PRESENCIAL";"PRESENCIAL"}, MATCH(CONCATENATE(E670, ".", F670),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71" spans="1:42" x14ac:dyDescent="0.25">
      <c r="A671" s="1" t="s">
        <v>27</v>
      </c>
      <c r="B671" s="1" t="s">
        <v>43</v>
      </c>
      <c r="C671" s="1" t="s">
        <v>29</v>
      </c>
      <c r="D671" s="1" t="s">
        <v>45</v>
      </c>
      <c r="E671" s="1" t="s">
        <v>170</v>
      </c>
      <c r="F671" s="1" t="s">
        <v>510</v>
      </c>
      <c r="G671" s="1" t="s">
        <v>278</v>
      </c>
      <c r="H671" s="1" t="s">
        <v>279</v>
      </c>
      <c r="I671" s="1" t="s">
        <v>172</v>
      </c>
      <c r="J671" s="1" t="s">
        <v>125</v>
      </c>
      <c r="K671" s="1" t="s">
        <v>109</v>
      </c>
      <c r="L671" s="1">
        <v>2030850</v>
      </c>
      <c r="M671" s="1" t="s">
        <v>886</v>
      </c>
      <c r="N671" s="5">
        <f>DATE(2016,7,25)</f>
        <v>42576</v>
      </c>
      <c r="O671" s="5">
        <f>DATE(2019,6,28)</f>
        <v>43644</v>
      </c>
      <c r="P671" s="5">
        <f t="shared" si="231"/>
        <v>44739</v>
      </c>
      <c r="Q671" s="1">
        <v>2980</v>
      </c>
      <c r="R671" s="1">
        <v>3200</v>
      </c>
      <c r="S671" s="1">
        <f t="shared" si="232"/>
        <v>3200</v>
      </c>
      <c r="T671" s="1">
        <v>2.5</v>
      </c>
      <c r="U671" s="1" t="str">
        <f t="shared" si="233"/>
        <v>NÃO</v>
      </c>
      <c r="V671" s="1">
        <f t="shared" si="234"/>
        <v>1069</v>
      </c>
      <c r="W671" s="4">
        <f t="shared" si="235"/>
        <v>2.7876520112254441</v>
      </c>
      <c r="X671" s="4">
        <f t="shared" si="236"/>
        <v>1017.4929840972871</v>
      </c>
      <c r="Y671" s="4">
        <f t="shared" si="237"/>
        <v>1.271866230121609</v>
      </c>
      <c r="AB671" s="5">
        <f t="shared" si="238"/>
        <v>45292</v>
      </c>
      <c r="AC671" s="5">
        <f t="shared" si="239"/>
        <v>45657</v>
      </c>
      <c r="AD671" s="1">
        <v>4</v>
      </c>
      <c r="AE671" s="1">
        <f t="shared" si="240"/>
        <v>0</v>
      </c>
      <c r="AF671" s="1">
        <f t="shared" si="241"/>
        <v>0</v>
      </c>
      <c r="AG671" s="1">
        <f t="shared" si="242"/>
        <v>0</v>
      </c>
      <c r="AH671" s="1">
        <f t="shared" si="243"/>
        <v>0</v>
      </c>
      <c r="AI671" s="1">
        <f t="shared" si="244"/>
        <v>183</v>
      </c>
      <c r="AJ671" s="3">
        <f t="shared" si="245"/>
        <v>0.5</v>
      </c>
      <c r="AK671" s="3">
        <f t="shared" si="246"/>
        <v>0.63593311506080452</v>
      </c>
      <c r="AL671" s="3">
        <f t="shared" si="247"/>
        <v>0</v>
      </c>
      <c r="AM671" s="3">
        <f t="shared" si="248"/>
        <v>0</v>
      </c>
      <c r="AN671" s="3">
        <f t="shared" si="249"/>
        <v>0</v>
      </c>
      <c r="AO671" s="3">
        <f t="shared" si="250"/>
        <v>0</v>
      </c>
      <c r="AP671" s="1" t="str">
        <f>INDEX({"EAD";"EAD";"EAD";"EAD MOOC";"EAD";"EAD";"EAD FP";"EAD";"PRESENCIAL";"PRESENCIAL";"PRESENCIAL";"PRESENCIAL"}, MATCH(CONCATENATE(E671, ".", F671),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72" spans="1:42" x14ac:dyDescent="0.25">
      <c r="A672" s="1" t="s">
        <v>27</v>
      </c>
      <c r="B672" s="1" t="s">
        <v>43</v>
      </c>
      <c r="C672" s="1" t="s">
        <v>29</v>
      </c>
      <c r="D672" s="1" t="s">
        <v>45</v>
      </c>
      <c r="E672" s="1" t="s">
        <v>120</v>
      </c>
      <c r="F672" s="1" t="s">
        <v>21</v>
      </c>
      <c r="G672" s="1" t="s">
        <v>128</v>
      </c>
      <c r="H672" s="1" t="s">
        <v>227</v>
      </c>
      <c r="I672" s="1" t="s">
        <v>228</v>
      </c>
      <c r="J672" s="1" t="s">
        <v>125</v>
      </c>
      <c r="K672" s="1" t="s">
        <v>163</v>
      </c>
      <c r="L672" s="1">
        <v>2073504</v>
      </c>
      <c r="M672" s="1" t="s">
        <v>887</v>
      </c>
      <c r="N672" s="5">
        <f>DATE(2016,8,24)</f>
        <v>42606</v>
      </c>
      <c r="O672" s="5">
        <f>DATE(2018,7,27)</f>
        <v>43308</v>
      </c>
      <c r="P672" s="5">
        <f t="shared" si="231"/>
        <v>44403</v>
      </c>
      <c r="Q672" s="1">
        <v>1367</v>
      </c>
      <c r="R672" s="1">
        <v>1200</v>
      </c>
      <c r="S672" s="1">
        <f t="shared" si="232"/>
        <v>1200</v>
      </c>
      <c r="T672" s="1">
        <v>2.5</v>
      </c>
      <c r="U672" s="1" t="str">
        <f t="shared" si="233"/>
        <v>NÃO</v>
      </c>
      <c r="V672" s="1">
        <f t="shared" si="234"/>
        <v>703</v>
      </c>
      <c r="W672" s="4">
        <f t="shared" si="235"/>
        <v>1.7069701280227596</v>
      </c>
      <c r="X672" s="4">
        <f t="shared" si="236"/>
        <v>623.0440967283073</v>
      </c>
      <c r="Y672" s="4">
        <f t="shared" si="237"/>
        <v>0.77880512091038412</v>
      </c>
      <c r="AB672" s="5">
        <f t="shared" si="238"/>
        <v>45292</v>
      </c>
      <c r="AC672" s="5">
        <f t="shared" si="239"/>
        <v>45657</v>
      </c>
      <c r="AE672" s="1">
        <f t="shared" si="240"/>
        <v>0</v>
      </c>
      <c r="AF672" s="1">
        <f t="shared" si="241"/>
        <v>0</v>
      </c>
      <c r="AG672" s="1">
        <f t="shared" si="242"/>
        <v>0</v>
      </c>
      <c r="AH672" s="1">
        <f t="shared" si="243"/>
        <v>0</v>
      </c>
      <c r="AI672" s="1">
        <f t="shared" si="244"/>
        <v>183</v>
      </c>
      <c r="AJ672" s="3">
        <f t="shared" si="245"/>
        <v>0.5</v>
      </c>
      <c r="AK672" s="3">
        <f t="shared" si="246"/>
        <v>0.38940256045519206</v>
      </c>
      <c r="AL672" s="3">
        <f t="shared" si="247"/>
        <v>0</v>
      </c>
      <c r="AM672" s="3">
        <f t="shared" si="248"/>
        <v>0</v>
      </c>
      <c r="AN672" s="3">
        <f t="shared" si="249"/>
        <v>0</v>
      </c>
      <c r="AO672" s="3">
        <f t="shared" si="250"/>
        <v>0</v>
      </c>
      <c r="AP672" s="1" t="str">
        <f>INDEX({"EAD";"EAD";"EAD";"EAD MOOC";"EAD";"EAD";"EAD FP";"EAD";"PRESENCIAL";"PRESENCIAL";"PRESENCIAL";"PRESENCIAL"}, MATCH(CONCATENATE(E672, ".", F672),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73" spans="1:42" x14ac:dyDescent="0.25">
      <c r="A673" s="1" t="s">
        <v>27</v>
      </c>
      <c r="B673" s="1" t="s">
        <v>43</v>
      </c>
      <c r="C673" s="1" t="s">
        <v>29</v>
      </c>
      <c r="D673" s="1" t="s">
        <v>45</v>
      </c>
      <c r="E673" s="1" t="s">
        <v>120</v>
      </c>
      <c r="F673" s="1" t="s">
        <v>21</v>
      </c>
      <c r="G673" s="1" t="s">
        <v>121</v>
      </c>
      <c r="H673" s="1" t="s">
        <v>869</v>
      </c>
      <c r="I673" s="1" t="s">
        <v>228</v>
      </c>
      <c r="J673" s="1" t="s">
        <v>125</v>
      </c>
      <c r="K673" s="1" t="s">
        <v>109</v>
      </c>
      <c r="L673" s="1">
        <v>2073534</v>
      </c>
      <c r="M673" s="1" t="s">
        <v>888</v>
      </c>
      <c r="N673" s="5">
        <f>DATE(2016,8,24)</f>
        <v>42606</v>
      </c>
      <c r="O673" s="5">
        <f>DATE(2021,7,30)</f>
        <v>44407</v>
      </c>
      <c r="P673" s="5">
        <f t="shared" si="231"/>
        <v>45502</v>
      </c>
      <c r="Q673" s="1">
        <v>4020</v>
      </c>
      <c r="R673" s="1">
        <v>3600</v>
      </c>
      <c r="S673" s="1">
        <f t="shared" si="232"/>
        <v>3600</v>
      </c>
      <c r="T673" s="1">
        <v>2.5</v>
      </c>
      <c r="U673" s="1" t="str">
        <f t="shared" si="233"/>
        <v>SIM</v>
      </c>
      <c r="V673" s="1">
        <f t="shared" si="234"/>
        <v>1802</v>
      </c>
      <c r="W673" s="4">
        <f t="shared" si="235"/>
        <v>1.9977802441731409</v>
      </c>
      <c r="X673" s="4">
        <f t="shared" si="236"/>
        <v>729.18978912319642</v>
      </c>
      <c r="Y673" s="4">
        <f t="shared" si="237"/>
        <v>0.91148723640399554</v>
      </c>
      <c r="AB673" s="5">
        <f t="shared" si="238"/>
        <v>45292</v>
      </c>
      <c r="AC673" s="5">
        <f t="shared" si="239"/>
        <v>45657</v>
      </c>
      <c r="AD673" s="1">
        <v>2</v>
      </c>
      <c r="AE673" s="1">
        <f t="shared" si="240"/>
        <v>0</v>
      </c>
      <c r="AF673" s="1">
        <f t="shared" si="241"/>
        <v>0</v>
      </c>
      <c r="AG673" s="1">
        <f t="shared" si="242"/>
        <v>0</v>
      </c>
      <c r="AH673" s="1">
        <f t="shared" si="243"/>
        <v>0</v>
      </c>
      <c r="AI673" s="1">
        <f t="shared" si="244"/>
        <v>183</v>
      </c>
      <c r="AJ673" s="3">
        <f t="shared" si="245"/>
        <v>0.5</v>
      </c>
      <c r="AK673" s="3">
        <f t="shared" si="246"/>
        <v>0.45574361820199777</v>
      </c>
      <c r="AL673" s="3">
        <f t="shared" si="247"/>
        <v>0.45574361820199777</v>
      </c>
      <c r="AM673" s="3">
        <f t="shared" si="248"/>
        <v>1.1393590455049944</v>
      </c>
      <c r="AN673" s="3">
        <f t="shared" si="249"/>
        <v>0</v>
      </c>
      <c r="AO673" s="3">
        <f t="shared" si="250"/>
        <v>1.1393590455049944</v>
      </c>
      <c r="AP673" s="1" t="str">
        <f>INDEX({"EAD";"EAD";"EAD";"EAD MOOC";"EAD";"EAD";"EAD FP";"EAD";"PRESENCIAL";"PRESENCIAL";"PRESENCIAL";"PRESENCIAL"}, MATCH(CONCATENATE(E673, ".", F673),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74" spans="1:42" x14ac:dyDescent="0.25">
      <c r="A674" s="1" t="s">
        <v>27</v>
      </c>
      <c r="B674" s="1" t="s">
        <v>43</v>
      </c>
      <c r="C674" s="1" t="s">
        <v>29</v>
      </c>
      <c r="D674" s="1" t="s">
        <v>45</v>
      </c>
      <c r="E674" s="1" t="s">
        <v>120</v>
      </c>
      <c r="F674" s="1" t="s">
        <v>21</v>
      </c>
      <c r="G674" s="1" t="s">
        <v>140</v>
      </c>
      <c r="H674" s="1" t="s">
        <v>865</v>
      </c>
      <c r="I674" s="1" t="s">
        <v>224</v>
      </c>
      <c r="J674" s="1" t="s">
        <v>125</v>
      </c>
      <c r="K674" s="1" t="s">
        <v>109</v>
      </c>
      <c r="L674" s="1">
        <v>2073539</v>
      </c>
      <c r="M674" s="1" t="s">
        <v>889</v>
      </c>
      <c r="N674" s="5">
        <f>DATE(2016,8,24)</f>
        <v>42606</v>
      </c>
      <c r="O674" s="5">
        <f>DATE(2019,7,26)</f>
        <v>43672</v>
      </c>
      <c r="P674" s="5">
        <f t="shared" si="231"/>
        <v>44767</v>
      </c>
      <c r="Q674" s="1">
        <v>2160</v>
      </c>
      <c r="R674" s="1">
        <v>1600</v>
      </c>
      <c r="S674" s="1">
        <f t="shared" si="232"/>
        <v>1600</v>
      </c>
      <c r="T674" s="1">
        <v>1</v>
      </c>
      <c r="U674" s="1" t="str">
        <f t="shared" si="233"/>
        <v>NÃO</v>
      </c>
      <c r="V674" s="1">
        <f t="shared" si="234"/>
        <v>1067</v>
      </c>
      <c r="W674" s="4">
        <f t="shared" si="235"/>
        <v>1.499531396438613</v>
      </c>
      <c r="X674" s="4">
        <f t="shared" si="236"/>
        <v>547.32895970009372</v>
      </c>
      <c r="Y674" s="4">
        <f t="shared" si="237"/>
        <v>0.68416119962511712</v>
      </c>
      <c r="AB674" s="5">
        <f t="shared" si="238"/>
        <v>45292</v>
      </c>
      <c r="AC674" s="5">
        <f t="shared" si="239"/>
        <v>45657</v>
      </c>
      <c r="AD674" s="1">
        <v>1</v>
      </c>
      <c r="AE674" s="1">
        <f t="shared" si="240"/>
        <v>0</v>
      </c>
      <c r="AF674" s="1">
        <f t="shared" si="241"/>
        <v>0</v>
      </c>
      <c r="AG674" s="1">
        <f t="shared" si="242"/>
        <v>0</v>
      </c>
      <c r="AH674" s="1">
        <f t="shared" si="243"/>
        <v>0</v>
      </c>
      <c r="AI674" s="1">
        <f t="shared" si="244"/>
        <v>183</v>
      </c>
      <c r="AJ674" s="3">
        <f t="shared" si="245"/>
        <v>0.5</v>
      </c>
      <c r="AK674" s="3">
        <f t="shared" si="246"/>
        <v>0.34208059981255856</v>
      </c>
      <c r="AL674" s="3">
        <f t="shared" si="247"/>
        <v>0</v>
      </c>
      <c r="AM674" s="3">
        <f t="shared" si="248"/>
        <v>0</v>
      </c>
      <c r="AN674" s="3">
        <f t="shared" si="249"/>
        <v>0</v>
      </c>
      <c r="AO674" s="3">
        <f t="shared" si="250"/>
        <v>0</v>
      </c>
      <c r="AP674" s="1" t="str">
        <f>INDEX({"EAD";"EAD";"EAD";"EAD MOOC";"EAD";"EAD";"EAD FP";"EAD";"PRESENCIAL";"PRESENCIAL";"PRESENCIAL";"PRESENCIAL"}, MATCH(CONCATENATE(E674, ".", F674),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75" spans="1:42" x14ac:dyDescent="0.25">
      <c r="A675" s="1" t="s">
        <v>27</v>
      </c>
      <c r="B675" s="1" t="s">
        <v>43</v>
      </c>
      <c r="C675" s="1" t="s">
        <v>29</v>
      </c>
      <c r="D675" s="1" t="s">
        <v>45</v>
      </c>
      <c r="E675" s="1" t="s">
        <v>120</v>
      </c>
      <c r="F675" s="1" t="s">
        <v>21</v>
      </c>
      <c r="G675" s="1" t="s">
        <v>128</v>
      </c>
      <c r="H675" s="1" t="s">
        <v>890</v>
      </c>
      <c r="I675" s="1" t="s">
        <v>191</v>
      </c>
      <c r="J675" s="1" t="s">
        <v>125</v>
      </c>
      <c r="K675" s="1" t="s">
        <v>130</v>
      </c>
      <c r="L675" s="1">
        <v>2092760</v>
      </c>
      <c r="M675" s="1" t="s">
        <v>891</v>
      </c>
      <c r="N675" s="5">
        <f>DATE(2016,8,24)</f>
        <v>42606</v>
      </c>
      <c r="O675" s="5">
        <f>DATE(2019,7,26)</f>
        <v>43672</v>
      </c>
      <c r="P675" s="5">
        <f t="shared" si="231"/>
        <v>44767</v>
      </c>
      <c r="Q675" s="1">
        <v>3912</v>
      </c>
      <c r="R675" s="1">
        <v>1200</v>
      </c>
      <c r="S675" s="1">
        <f t="shared" si="232"/>
        <v>3200</v>
      </c>
      <c r="T675" s="1">
        <v>2.5</v>
      </c>
      <c r="U675" s="1" t="str">
        <f t="shared" si="233"/>
        <v>NÃO</v>
      </c>
      <c r="V675" s="1">
        <f t="shared" si="234"/>
        <v>1067</v>
      </c>
      <c r="W675" s="4">
        <f t="shared" si="235"/>
        <v>2.999062792877226</v>
      </c>
      <c r="X675" s="4">
        <f t="shared" si="236"/>
        <v>1094.6579194001874</v>
      </c>
      <c r="Y675" s="4">
        <f t="shared" si="237"/>
        <v>1.3683223992502342</v>
      </c>
      <c r="AB675" s="5">
        <f t="shared" si="238"/>
        <v>45292</v>
      </c>
      <c r="AC675" s="5">
        <f t="shared" si="239"/>
        <v>45657</v>
      </c>
      <c r="AD675" s="1">
        <v>1</v>
      </c>
      <c r="AE675" s="1">
        <f t="shared" si="240"/>
        <v>0</v>
      </c>
      <c r="AF675" s="1">
        <f t="shared" si="241"/>
        <v>0</v>
      </c>
      <c r="AG675" s="1">
        <f t="shared" si="242"/>
        <v>0</v>
      </c>
      <c r="AH675" s="1">
        <f t="shared" si="243"/>
        <v>0</v>
      </c>
      <c r="AI675" s="1">
        <f t="shared" si="244"/>
        <v>183</v>
      </c>
      <c r="AJ675" s="3">
        <f t="shared" si="245"/>
        <v>0.5</v>
      </c>
      <c r="AK675" s="3">
        <f t="shared" si="246"/>
        <v>0.68416119962511712</v>
      </c>
      <c r="AL675" s="3">
        <f t="shared" si="247"/>
        <v>0</v>
      </c>
      <c r="AM675" s="3">
        <f t="shared" si="248"/>
        <v>0</v>
      </c>
      <c r="AN675" s="3">
        <f t="shared" si="249"/>
        <v>0</v>
      </c>
      <c r="AO675" s="3">
        <f t="shared" si="250"/>
        <v>0</v>
      </c>
      <c r="AP675" s="1" t="str">
        <f>INDEX({"EAD";"EAD";"EAD";"EAD MOOC";"EAD";"EAD";"EAD FP";"EAD";"PRESENCIAL";"PRESENCIAL";"PRESENCIAL";"PRESENCIAL"}, MATCH(CONCATENATE(E675, ".", F675),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76" spans="1:42" x14ac:dyDescent="0.25">
      <c r="A676" s="1" t="s">
        <v>27</v>
      </c>
      <c r="B676" s="1" t="s">
        <v>43</v>
      </c>
      <c r="C676" s="1" t="s">
        <v>29</v>
      </c>
      <c r="D676" s="1" t="s">
        <v>45</v>
      </c>
      <c r="E676" s="1" t="s">
        <v>170</v>
      </c>
      <c r="F676" s="1" t="s">
        <v>510</v>
      </c>
      <c r="G676" s="1" t="s">
        <v>278</v>
      </c>
      <c r="H676" s="1" t="s">
        <v>279</v>
      </c>
      <c r="I676" s="1" t="s">
        <v>172</v>
      </c>
      <c r="J676" s="1" t="s">
        <v>125</v>
      </c>
      <c r="K676" s="1" t="s">
        <v>109</v>
      </c>
      <c r="L676" s="1">
        <v>2103775</v>
      </c>
      <c r="M676" s="1" t="s">
        <v>892</v>
      </c>
      <c r="N676" s="5">
        <f>DATE(2016,10,3)</f>
        <v>42646</v>
      </c>
      <c r="O676" s="5">
        <f>DATE(2019,6,28)</f>
        <v>43644</v>
      </c>
      <c r="P676" s="5">
        <f t="shared" si="231"/>
        <v>44739</v>
      </c>
      <c r="Q676" s="1">
        <v>2980</v>
      </c>
      <c r="R676" s="1">
        <v>3200</v>
      </c>
      <c r="S676" s="1">
        <f t="shared" si="232"/>
        <v>3200</v>
      </c>
      <c r="T676" s="1">
        <v>2.5</v>
      </c>
      <c r="U676" s="1" t="str">
        <f t="shared" si="233"/>
        <v>NÃO</v>
      </c>
      <c r="V676" s="1">
        <f t="shared" si="234"/>
        <v>999</v>
      </c>
      <c r="W676" s="4">
        <f t="shared" si="235"/>
        <v>2.9829829829829828</v>
      </c>
      <c r="X676" s="4">
        <f t="shared" si="236"/>
        <v>1088.7887887887887</v>
      </c>
      <c r="Y676" s="4">
        <f t="shared" si="237"/>
        <v>1.3609859859859859</v>
      </c>
      <c r="AB676" s="5">
        <f t="shared" si="238"/>
        <v>45292</v>
      </c>
      <c r="AC676" s="5">
        <f t="shared" si="239"/>
        <v>45657</v>
      </c>
      <c r="AD676" s="1">
        <v>1</v>
      </c>
      <c r="AE676" s="1">
        <f t="shared" si="240"/>
        <v>0</v>
      </c>
      <c r="AF676" s="1">
        <f t="shared" si="241"/>
        <v>0</v>
      </c>
      <c r="AG676" s="1">
        <f t="shared" si="242"/>
        <v>0</v>
      </c>
      <c r="AH676" s="1">
        <f t="shared" si="243"/>
        <v>0</v>
      </c>
      <c r="AI676" s="1">
        <f t="shared" si="244"/>
        <v>183</v>
      </c>
      <c r="AJ676" s="3">
        <f t="shared" si="245"/>
        <v>0.5</v>
      </c>
      <c r="AK676" s="3">
        <f t="shared" si="246"/>
        <v>0.68049299299299293</v>
      </c>
      <c r="AL676" s="3">
        <f t="shared" si="247"/>
        <v>0</v>
      </c>
      <c r="AM676" s="3">
        <f t="shared" si="248"/>
        <v>0</v>
      </c>
      <c r="AN676" s="3">
        <f t="shared" si="249"/>
        <v>0</v>
      </c>
      <c r="AO676" s="3">
        <f t="shared" si="250"/>
        <v>0</v>
      </c>
      <c r="AP676" s="1" t="str">
        <f>INDEX({"EAD";"EAD";"EAD";"EAD MOOC";"EAD";"EAD";"EAD FP";"EAD";"PRESENCIAL";"PRESENCIAL";"PRESENCIAL";"PRESENCIAL"}, MATCH(CONCATENATE(E676, ".", F676),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77" spans="1:42" x14ac:dyDescent="0.25">
      <c r="A677" s="1" t="s">
        <v>27</v>
      </c>
      <c r="B677" s="1" t="s">
        <v>43</v>
      </c>
      <c r="C677" s="1" t="s">
        <v>29</v>
      </c>
      <c r="D677" s="1" t="s">
        <v>45</v>
      </c>
      <c r="E677" s="1" t="s">
        <v>170</v>
      </c>
      <c r="F677" s="1" t="s">
        <v>510</v>
      </c>
      <c r="G677" s="1" t="s">
        <v>278</v>
      </c>
      <c r="H677" s="1" t="s">
        <v>279</v>
      </c>
      <c r="I677" s="1" t="s">
        <v>172</v>
      </c>
      <c r="J677" s="1" t="s">
        <v>125</v>
      </c>
      <c r="K677" s="1" t="s">
        <v>109</v>
      </c>
      <c r="L677" s="1">
        <v>2103776</v>
      </c>
      <c r="M677" s="1" t="s">
        <v>892</v>
      </c>
      <c r="N677" s="5">
        <f>DATE(2016,10,3)</f>
        <v>42646</v>
      </c>
      <c r="O677" s="5">
        <f>DATE(2019,6,28)</f>
        <v>43644</v>
      </c>
      <c r="P677" s="5">
        <f t="shared" si="231"/>
        <v>44739</v>
      </c>
      <c r="Q677" s="1">
        <v>2980</v>
      </c>
      <c r="R677" s="1">
        <v>3200</v>
      </c>
      <c r="S677" s="1">
        <f t="shared" si="232"/>
        <v>3200</v>
      </c>
      <c r="T677" s="1">
        <v>2.5</v>
      </c>
      <c r="U677" s="1" t="str">
        <f t="shared" si="233"/>
        <v>NÃO</v>
      </c>
      <c r="V677" s="1">
        <f t="shared" si="234"/>
        <v>999</v>
      </c>
      <c r="W677" s="4">
        <f t="shared" si="235"/>
        <v>2.9829829829829828</v>
      </c>
      <c r="X677" s="4">
        <f t="shared" si="236"/>
        <v>1088.7887887887887</v>
      </c>
      <c r="Y677" s="4">
        <f t="shared" si="237"/>
        <v>1.3609859859859859</v>
      </c>
      <c r="AB677" s="5">
        <f t="shared" si="238"/>
        <v>45292</v>
      </c>
      <c r="AC677" s="5">
        <f t="shared" si="239"/>
        <v>45657</v>
      </c>
      <c r="AE677" s="1">
        <f t="shared" si="240"/>
        <v>0</v>
      </c>
      <c r="AF677" s="1">
        <f t="shared" si="241"/>
        <v>0</v>
      </c>
      <c r="AG677" s="1">
        <f t="shared" si="242"/>
        <v>0</v>
      </c>
      <c r="AH677" s="1">
        <f t="shared" si="243"/>
        <v>0</v>
      </c>
      <c r="AI677" s="1">
        <f t="shared" si="244"/>
        <v>183</v>
      </c>
      <c r="AJ677" s="3">
        <f t="shared" si="245"/>
        <v>0.5</v>
      </c>
      <c r="AK677" s="3">
        <f t="shared" si="246"/>
        <v>0.68049299299299293</v>
      </c>
      <c r="AL677" s="3">
        <f t="shared" si="247"/>
        <v>0</v>
      </c>
      <c r="AM677" s="3">
        <f t="shared" si="248"/>
        <v>0</v>
      </c>
      <c r="AN677" s="3">
        <f t="shared" si="249"/>
        <v>0</v>
      </c>
      <c r="AO677" s="3">
        <f t="shared" si="250"/>
        <v>0</v>
      </c>
      <c r="AP677" s="1" t="str">
        <f>INDEX({"EAD";"EAD";"EAD";"EAD MOOC";"EAD";"EAD";"EAD FP";"EAD";"PRESENCIAL";"PRESENCIAL";"PRESENCIAL";"PRESENCIAL"}, MATCH(CONCATENATE(E677, ".", F677),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78" spans="1:42" x14ac:dyDescent="0.25">
      <c r="A678" s="1" t="s">
        <v>27</v>
      </c>
      <c r="B678" s="1" t="s">
        <v>43</v>
      </c>
      <c r="C678" s="1" t="s">
        <v>29</v>
      </c>
      <c r="D678" s="1" t="s">
        <v>45</v>
      </c>
      <c r="E678" s="1" t="s">
        <v>170</v>
      </c>
      <c r="F678" s="1" t="s">
        <v>510</v>
      </c>
      <c r="G678" s="1" t="s">
        <v>278</v>
      </c>
      <c r="H678" s="1" t="s">
        <v>279</v>
      </c>
      <c r="I678" s="1" t="s">
        <v>172</v>
      </c>
      <c r="J678" s="1" t="s">
        <v>125</v>
      </c>
      <c r="K678" s="1" t="s">
        <v>109</v>
      </c>
      <c r="L678" s="1">
        <v>2103777</v>
      </c>
      <c r="M678" s="1" t="s">
        <v>892</v>
      </c>
      <c r="N678" s="5">
        <f>DATE(2016,10,3)</f>
        <v>42646</v>
      </c>
      <c r="O678" s="5">
        <f>DATE(2019,6,28)</f>
        <v>43644</v>
      </c>
      <c r="P678" s="5">
        <f t="shared" si="231"/>
        <v>44739</v>
      </c>
      <c r="Q678" s="1">
        <v>2980</v>
      </c>
      <c r="R678" s="1">
        <v>3200</v>
      </c>
      <c r="S678" s="1">
        <f t="shared" si="232"/>
        <v>3200</v>
      </c>
      <c r="T678" s="1">
        <v>2.5</v>
      </c>
      <c r="U678" s="1" t="str">
        <f t="shared" si="233"/>
        <v>NÃO</v>
      </c>
      <c r="V678" s="1">
        <f t="shared" si="234"/>
        <v>999</v>
      </c>
      <c r="W678" s="4">
        <f t="shared" si="235"/>
        <v>2.9829829829829828</v>
      </c>
      <c r="X678" s="4">
        <f t="shared" si="236"/>
        <v>1088.7887887887887</v>
      </c>
      <c r="Y678" s="4">
        <f t="shared" si="237"/>
        <v>1.3609859859859859</v>
      </c>
      <c r="AB678" s="5">
        <f t="shared" si="238"/>
        <v>45292</v>
      </c>
      <c r="AC678" s="5">
        <f t="shared" si="239"/>
        <v>45657</v>
      </c>
      <c r="AD678" s="1">
        <v>1</v>
      </c>
      <c r="AE678" s="1">
        <f t="shared" si="240"/>
        <v>0</v>
      </c>
      <c r="AF678" s="1">
        <f t="shared" si="241"/>
        <v>0</v>
      </c>
      <c r="AG678" s="1">
        <f t="shared" si="242"/>
        <v>0</v>
      </c>
      <c r="AH678" s="1">
        <f t="shared" si="243"/>
        <v>0</v>
      </c>
      <c r="AI678" s="1">
        <f t="shared" si="244"/>
        <v>183</v>
      </c>
      <c r="AJ678" s="3">
        <f t="shared" si="245"/>
        <v>0.5</v>
      </c>
      <c r="AK678" s="3">
        <f t="shared" si="246"/>
        <v>0.68049299299299293</v>
      </c>
      <c r="AL678" s="3">
        <f t="shared" si="247"/>
        <v>0</v>
      </c>
      <c r="AM678" s="3">
        <f t="shared" si="248"/>
        <v>0</v>
      </c>
      <c r="AN678" s="3">
        <f t="shared" si="249"/>
        <v>0</v>
      </c>
      <c r="AO678" s="3">
        <f t="shared" si="250"/>
        <v>0</v>
      </c>
      <c r="AP678" s="1" t="str">
        <f>INDEX({"EAD";"EAD";"EAD";"EAD MOOC";"EAD";"EAD";"EAD FP";"EAD";"PRESENCIAL";"PRESENCIAL";"PRESENCIAL";"PRESENCIAL"}, MATCH(CONCATENATE(E678, ".", F678),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79" spans="1:42" x14ac:dyDescent="0.25">
      <c r="A679" s="1" t="s">
        <v>27</v>
      </c>
      <c r="B679" s="1" t="s">
        <v>43</v>
      </c>
      <c r="C679" s="1" t="s">
        <v>29</v>
      </c>
      <c r="D679" s="1" t="s">
        <v>45</v>
      </c>
      <c r="E679" s="1" t="s">
        <v>120</v>
      </c>
      <c r="F679" s="1" t="s">
        <v>21</v>
      </c>
      <c r="G679" s="1" t="s">
        <v>121</v>
      </c>
      <c r="H679" s="1" t="s">
        <v>869</v>
      </c>
      <c r="I679" s="1" t="s">
        <v>228</v>
      </c>
      <c r="J679" s="1" t="s">
        <v>125</v>
      </c>
      <c r="K679" s="1" t="s">
        <v>109</v>
      </c>
      <c r="L679" s="1">
        <v>2134850</v>
      </c>
      <c r="M679" s="1" t="s">
        <v>893</v>
      </c>
      <c r="N679" s="5">
        <f t="shared" ref="N679:N701" si="251">DATE(2017,3,2)</f>
        <v>42796</v>
      </c>
      <c r="O679" s="5">
        <f>DATE(2021,12,17)</f>
        <v>44547</v>
      </c>
      <c r="P679" s="5">
        <f t="shared" si="231"/>
        <v>45642</v>
      </c>
      <c r="Q679" s="1">
        <v>4020</v>
      </c>
      <c r="R679" s="1">
        <v>3600</v>
      </c>
      <c r="S679" s="1">
        <f t="shared" si="232"/>
        <v>3600</v>
      </c>
      <c r="T679" s="1">
        <v>2.5</v>
      </c>
      <c r="U679" s="1" t="str">
        <f t="shared" si="233"/>
        <v>SIM</v>
      </c>
      <c r="V679" s="1">
        <f t="shared" si="234"/>
        <v>1752</v>
      </c>
      <c r="W679" s="4">
        <f t="shared" si="235"/>
        <v>2.0547945205479454</v>
      </c>
      <c r="X679" s="4">
        <f t="shared" si="236"/>
        <v>750.00000000000011</v>
      </c>
      <c r="Y679" s="4">
        <f t="shared" si="237"/>
        <v>0.93750000000000011</v>
      </c>
      <c r="AB679" s="5">
        <f t="shared" si="238"/>
        <v>45292</v>
      </c>
      <c r="AC679" s="5">
        <f t="shared" si="239"/>
        <v>45657</v>
      </c>
      <c r="AD679" s="1">
        <v>5</v>
      </c>
      <c r="AE679" s="1">
        <f t="shared" si="240"/>
        <v>0</v>
      </c>
      <c r="AF679" s="1">
        <f t="shared" si="241"/>
        <v>0</v>
      </c>
      <c r="AG679" s="1">
        <f t="shared" si="242"/>
        <v>0</v>
      </c>
      <c r="AH679" s="1">
        <f t="shared" si="243"/>
        <v>0</v>
      </c>
      <c r="AI679" s="1">
        <f t="shared" si="244"/>
        <v>183</v>
      </c>
      <c r="AJ679" s="3">
        <f t="shared" si="245"/>
        <v>0.5</v>
      </c>
      <c r="AK679" s="3">
        <f t="shared" si="246"/>
        <v>0.46875000000000006</v>
      </c>
      <c r="AL679" s="3">
        <f t="shared" si="247"/>
        <v>1.1718750000000002</v>
      </c>
      <c r="AM679" s="3">
        <f t="shared" si="248"/>
        <v>2.9296875000000004</v>
      </c>
      <c r="AN679" s="3">
        <f t="shared" si="249"/>
        <v>0</v>
      </c>
      <c r="AO679" s="3">
        <f t="shared" si="250"/>
        <v>2.9296875000000004</v>
      </c>
      <c r="AP679" s="1" t="str">
        <f>INDEX({"EAD";"EAD";"EAD";"EAD MOOC";"EAD";"EAD";"EAD FP";"EAD";"PRESENCIAL";"PRESENCIAL";"PRESENCIAL";"PRESENCIAL"}, MATCH(CONCATENATE(E679, ".", F679),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80" spans="1:42" x14ac:dyDescent="0.25">
      <c r="A680" s="1" t="s">
        <v>27</v>
      </c>
      <c r="B680" s="1" t="s">
        <v>43</v>
      </c>
      <c r="C680" s="1" t="s">
        <v>29</v>
      </c>
      <c r="D680" s="1" t="s">
        <v>45</v>
      </c>
      <c r="E680" s="1" t="s">
        <v>120</v>
      </c>
      <c r="F680" s="1" t="s">
        <v>21</v>
      </c>
      <c r="G680" s="1" t="s">
        <v>140</v>
      </c>
      <c r="H680" s="1" t="s">
        <v>865</v>
      </c>
      <c r="I680" s="1" t="s">
        <v>224</v>
      </c>
      <c r="J680" s="1" t="s">
        <v>125</v>
      </c>
      <c r="K680" s="1" t="s">
        <v>109</v>
      </c>
      <c r="L680" s="1">
        <v>2134851</v>
      </c>
      <c r="M680" s="1" t="s">
        <v>894</v>
      </c>
      <c r="N680" s="5">
        <f t="shared" si="251"/>
        <v>42796</v>
      </c>
      <c r="O680" s="5">
        <f>DATE(2019,12,20)</f>
        <v>43819</v>
      </c>
      <c r="P680" s="5">
        <f t="shared" si="231"/>
        <v>44914</v>
      </c>
      <c r="Q680" s="1">
        <v>2160</v>
      </c>
      <c r="R680" s="1">
        <v>1600</v>
      </c>
      <c r="S680" s="1">
        <f t="shared" si="232"/>
        <v>1600</v>
      </c>
      <c r="T680" s="1">
        <v>1</v>
      </c>
      <c r="U680" s="1" t="str">
        <f t="shared" si="233"/>
        <v>NÃO</v>
      </c>
      <c r="V680" s="1">
        <f t="shared" si="234"/>
        <v>1024</v>
      </c>
      <c r="W680" s="4">
        <f t="shared" si="235"/>
        <v>1.5625</v>
      </c>
      <c r="X680" s="4">
        <f t="shared" si="236"/>
        <v>570.3125</v>
      </c>
      <c r="Y680" s="4">
        <f t="shared" si="237"/>
        <v>0.712890625</v>
      </c>
      <c r="AB680" s="5">
        <f t="shared" si="238"/>
        <v>45292</v>
      </c>
      <c r="AC680" s="5">
        <f t="shared" si="239"/>
        <v>45657</v>
      </c>
      <c r="AE680" s="1">
        <f t="shared" si="240"/>
        <v>0</v>
      </c>
      <c r="AF680" s="1">
        <f t="shared" si="241"/>
        <v>0</v>
      </c>
      <c r="AG680" s="1">
        <f t="shared" si="242"/>
        <v>0</v>
      </c>
      <c r="AH680" s="1">
        <f t="shared" si="243"/>
        <v>0</v>
      </c>
      <c r="AI680" s="1">
        <f t="shared" si="244"/>
        <v>183</v>
      </c>
      <c r="AJ680" s="3">
        <f t="shared" si="245"/>
        <v>0.5</v>
      </c>
      <c r="AK680" s="3">
        <f t="shared" si="246"/>
        <v>0.3564453125</v>
      </c>
      <c r="AL680" s="3">
        <f t="shared" si="247"/>
        <v>0</v>
      </c>
      <c r="AM680" s="3">
        <f t="shared" si="248"/>
        <v>0</v>
      </c>
      <c r="AN680" s="3">
        <f t="shared" si="249"/>
        <v>0</v>
      </c>
      <c r="AO680" s="3">
        <f t="shared" si="250"/>
        <v>0</v>
      </c>
      <c r="AP680" s="1" t="str">
        <f>INDEX({"EAD";"EAD";"EAD";"EAD MOOC";"EAD";"EAD";"EAD FP";"EAD";"PRESENCIAL";"PRESENCIAL";"PRESENCIAL";"PRESENCIAL"}, MATCH(CONCATENATE(E680, ".", F680),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81" spans="1:42" x14ac:dyDescent="0.25">
      <c r="A681" s="1" t="s">
        <v>27</v>
      </c>
      <c r="B681" s="1" t="s">
        <v>43</v>
      </c>
      <c r="C681" s="1" t="s">
        <v>29</v>
      </c>
      <c r="D681" s="1" t="s">
        <v>45</v>
      </c>
      <c r="E681" s="1" t="s">
        <v>120</v>
      </c>
      <c r="F681" s="1" t="s">
        <v>21</v>
      </c>
      <c r="G681" s="1" t="s">
        <v>128</v>
      </c>
      <c r="H681" s="1" t="s">
        <v>227</v>
      </c>
      <c r="I681" s="1" t="s">
        <v>228</v>
      </c>
      <c r="J681" s="1" t="s">
        <v>125</v>
      </c>
      <c r="K681" s="1" t="s">
        <v>163</v>
      </c>
      <c r="L681" s="1">
        <v>2134857</v>
      </c>
      <c r="M681" s="1" t="s">
        <v>895</v>
      </c>
      <c r="N681" s="5">
        <f t="shared" si="251"/>
        <v>42796</v>
      </c>
      <c r="O681" s="5">
        <f>DATE(2018,12,21)</f>
        <v>43455</v>
      </c>
      <c r="P681" s="5">
        <f t="shared" si="231"/>
        <v>44550</v>
      </c>
      <c r="Q681" s="1">
        <v>1367</v>
      </c>
      <c r="R681" s="1">
        <v>1200</v>
      </c>
      <c r="S681" s="1">
        <f t="shared" si="232"/>
        <v>1200</v>
      </c>
      <c r="T681" s="1">
        <v>2.5</v>
      </c>
      <c r="U681" s="1" t="str">
        <f t="shared" si="233"/>
        <v>NÃO</v>
      </c>
      <c r="V681" s="1">
        <f t="shared" si="234"/>
        <v>660</v>
      </c>
      <c r="W681" s="4">
        <f t="shared" si="235"/>
        <v>1.8181818181818181</v>
      </c>
      <c r="X681" s="4">
        <f t="shared" si="236"/>
        <v>663.63636363636363</v>
      </c>
      <c r="Y681" s="4">
        <f t="shared" si="237"/>
        <v>0.82954545454545459</v>
      </c>
      <c r="AB681" s="5">
        <f t="shared" si="238"/>
        <v>45292</v>
      </c>
      <c r="AC681" s="5">
        <f t="shared" si="239"/>
        <v>45657</v>
      </c>
      <c r="AE681" s="1">
        <f t="shared" si="240"/>
        <v>0</v>
      </c>
      <c r="AF681" s="1">
        <f t="shared" si="241"/>
        <v>0</v>
      </c>
      <c r="AG681" s="1">
        <f t="shared" si="242"/>
        <v>0</v>
      </c>
      <c r="AH681" s="1">
        <f t="shared" si="243"/>
        <v>0</v>
      </c>
      <c r="AI681" s="1">
        <f t="shared" si="244"/>
        <v>183</v>
      </c>
      <c r="AJ681" s="3">
        <f t="shared" si="245"/>
        <v>0.5</v>
      </c>
      <c r="AK681" s="3">
        <f t="shared" si="246"/>
        <v>0.41477272727272729</v>
      </c>
      <c r="AL681" s="3">
        <f t="shared" si="247"/>
        <v>0</v>
      </c>
      <c r="AM681" s="3">
        <f t="shared" si="248"/>
        <v>0</v>
      </c>
      <c r="AN681" s="3">
        <f t="shared" si="249"/>
        <v>0</v>
      </c>
      <c r="AO681" s="3">
        <f t="shared" si="250"/>
        <v>0</v>
      </c>
      <c r="AP681" s="1" t="str">
        <f>INDEX({"EAD";"EAD";"EAD";"EAD MOOC";"EAD";"EAD";"EAD FP";"EAD";"PRESENCIAL";"PRESENCIAL";"PRESENCIAL";"PRESENCIAL"}, MATCH(CONCATENATE(E681, ".", F681),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682" spans="1:42" x14ac:dyDescent="0.25">
      <c r="A682" s="1" t="s">
        <v>27</v>
      </c>
      <c r="B682" s="1" t="s">
        <v>43</v>
      </c>
      <c r="C682" s="1" t="s">
        <v>29</v>
      </c>
      <c r="D682" s="1" t="s">
        <v>45</v>
      </c>
      <c r="E682" s="1" t="s">
        <v>170</v>
      </c>
      <c r="F682" s="1" t="s">
        <v>510</v>
      </c>
      <c r="G682" s="1" t="s">
        <v>278</v>
      </c>
      <c r="H682" s="1" t="s">
        <v>279</v>
      </c>
      <c r="I682" s="1" t="s">
        <v>172</v>
      </c>
      <c r="J682" s="1" t="s">
        <v>125</v>
      </c>
      <c r="K682" s="1" t="s">
        <v>109</v>
      </c>
      <c r="L682" s="1">
        <v>2461165</v>
      </c>
      <c r="M682" s="1" t="s">
        <v>896</v>
      </c>
      <c r="N682" s="5">
        <f t="shared" si="251"/>
        <v>42796</v>
      </c>
      <c r="O682" s="5">
        <f t="shared" ref="O682:O701" si="252">DATE(2021,3,1)</f>
        <v>44256</v>
      </c>
      <c r="P682" s="5">
        <f t="shared" si="231"/>
        <v>45351</v>
      </c>
      <c r="Q682" s="1">
        <v>3470</v>
      </c>
      <c r="R682" s="1">
        <v>3200</v>
      </c>
      <c r="S682" s="1">
        <f t="shared" si="232"/>
        <v>3200</v>
      </c>
      <c r="T682" s="1">
        <v>2.5</v>
      </c>
      <c r="U682" s="1" t="str">
        <f t="shared" si="233"/>
        <v>SIM</v>
      </c>
      <c r="V682" s="1">
        <f t="shared" si="234"/>
        <v>1461</v>
      </c>
      <c r="W682" s="4">
        <f t="shared" si="235"/>
        <v>2.1902806297056809</v>
      </c>
      <c r="X682" s="4">
        <f t="shared" si="236"/>
        <v>799.45242984257357</v>
      </c>
      <c r="Y682" s="4">
        <f t="shared" si="237"/>
        <v>0.99931553730321698</v>
      </c>
      <c r="AB682" s="5">
        <f t="shared" si="238"/>
        <v>45292</v>
      </c>
      <c r="AC682" s="5">
        <f t="shared" si="239"/>
        <v>45657</v>
      </c>
      <c r="AD682" s="1">
        <v>54</v>
      </c>
      <c r="AE682" s="1">
        <f t="shared" si="240"/>
        <v>0</v>
      </c>
      <c r="AF682" s="1">
        <f t="shared" si="241"/>
        <v>0</v>
      </c>
      <c r="AG682" s="1">
        <f t="shared" si="242"/>
        <v>0</v>
      </c>
      <c r="AH682" s="1">
        <f t="shared" si="243"/>
        <v>0</v>
      </c>
      <c r="AI682" s="1">
        <f t="shared" si="244"/>
        <v>183</v>
      </c>
      <c r="AJ682" s="3">
        <f t="shared" si="245"/>
        <v>0.5</v>
      </c>
      <c r="AK682" s="3">
        <f t="shared" si="246"/>
        <v>0.49965776865160849</v>
      </c>
      <c r="AL682" s="3">
        <f t="shared" si="247"/>
        <v>13.49075975359343</v>
      </c>
      <c r="AM682" s="3">
        <f t="shared" si="248"/>
        <v>33.726899383983579</v>
      </c>
      <c r="AN682" s="3">
        <f t="shared" si="249"/>
        <v>0</v>
      </c>
      <c r="AO682" s="3">
        <f t="shared" si="250"/>
        <v>33.726899383983579</v>
      </c>
      <c r="AP682" s="1" t="str">
        <f>INDEX({"EAD";"EAD";"EAD";"EAD MOOC";"EAD";"EAD";"EAD FP";"EAD";"PRESENCIAL";"PRESENCIAL";"PRESENCIAL";"PRESENCIAL"}, MATCH(CONCATENATE(E682, ".", F682),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83" spans="1:42" x14ac:dyDescent="0.25">
      <c r="A683" s="1" t="s">
        <v>27</v>
      </c>
      <c r="B683" s="1" t="s">
        <v>43</v>
      </c>
      <c r="C683" s="1" t="s">
        <v>29</v>
      </c>
      <c r="D683" s="1" t="s">
        <v>45</v>
      </c>
      <c r="E683" s="1" t="s">
        <v>170</v>
      </c>
      <c r="F683" s="1" t="s">
        <v>510</v>
      </c>
      <c r="G683" s="1" t="s">
        <v>278</v>
      </c>
      <c r="H683" s="1" t="s">
        <v>279</v>
      </c>
      <c r="I683" s="1" t="s">
        <v>172</v>
      </c>
      <c r="J683" s="1" t="s">
        <v>125</v>
      </c>
      <c r="K683" s="1" t="s">
        <v>109</v>
      </c>
      <c r="L683" s="1">
        <v>2461205</v>
      </c>
      <c r="M683" s="1" t="s">
        <v>896</v>
      </c>
      <c r="N683" s="5">
        <f t="shared" si="251"/>
        <v>42796</v>
      </c>
      <c r="O683" s="5">
        <f t="shared" si="252"/>
        <v>44256</v>
      </c>
      <c r="P683" s="5">
        <f t="shared" si="231"/>
        <v>45351</v>
      </c>
      <c r="Q683" s="1">
        <v>3470</v>
      </c>
      <c r="R683" s="1">
        <v>3200</v>
      </c>
      <c r="S683" s="1">
        <f t="shared" si="232"/>
        <v>3200</v>
      </c>
      <c r="T683" s="1">
        <v>2.5</v>
      </c>
      <c r="U683" s="1" t="str">
        <f t="shared" si="233"/>
        <v>SIM</v>
      </c>
      <c r="V683" s="1">
        <f t="shared" si="234"/>
        <v>1461</v>
      </c>
      <c r="W683" s="4">
        <f t="shared" si="235"/>
        <v>2.1902806297056809</v>
      </c>
      <c r="X683" s="4">
        <f t="shared" si="236"/>
        <v>799.45242984257357</v>
      </c>
      <c r="Y683" s="4">
        <f t="shared" si="237"/>
        <v>0.99931553730321698</v>
      </c>
      <c r="AB683" s="5">
        <f t="shared" si="238"/>
        <v>45292</v>
      </c>
      <c r="AC683" s="5">
        <f t="shared" si="239"/>
        <v>45657</v>
      </c>
      <c r="AD683" s="1">
        <v>20</v>
      </c>
      <c r="AE683" s="1">
        <f t="shared" si="240"/>
        <v>0</v>
      </c>
      <c r="AF683" s="1">
        <f t="shared" si="241"/>
        <v>0</v>
      </c>
      <c r="AG683" s="1">
        <f t="shared" si="242"/>
        <v>0</v>
      </c>
      <c r="AH683" s="1">
        <f t="shared" si="243"/>
        <v>0</v>
      </c>
      <c r="AI683" s="1">
        <f t="shared" si="244"/>
        <v>183</v>
      </c>
      <c r="AJ683" s="3">
        <f t="shared" si="245"/>
        <v>0.5</v>
      </c>
      <c r="AK683" s="3">
        <f t="shared" si="246"/>
        <v>0.49965776865160849</v>
      </c>
      <c r="AL683" s="3">
        <f t="shared" si="247"/>
        <v>4.9965776865160851</v>
      </c>
      <c r="AM683" s="3">
        <f t="shared" si="248"/>
        <v>12.491444216290212</v>
      </c>
      <c r="AN683" s="3">
        <f t="shared" si="249"/>
        <v>0</v>
      </c>
      <c r="AO683" s="3">
        <f t="shared" si="250"/>
        <v>12.491444216290212</v>
      </c>
      <c r="AP683" s="1" t="str">
        <f>INDEX({"EAD";"EAD";"EAD";"EAD MOOC";"EAD";"EAD";"EAD FP";"EAD";"PRESENCIAL";"PRESENCIAL";"PRESENCIAL";"PRESENCIAL"}, MATCH(CONCATENATE(E683, ".", F683),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84" spans="1:42" x14ac:dyDescent="0.25">
      <c r="A684" s="1" t="s">
        <v>27</v>
      </c>
      <c r="B684" s="1" t="s">
        <v>43</v>
      </c>
      <c r="C684" s="1" t="s">
        <v>29</v>
      </c>
      <c r="D684" s="1" t="s">
        <v>45</v>
      </c>
      <c r="E684" s="1" t="s">
        <v>170</v>
      </c>
      <c r="F684" s="1" t="s">
        <v>510</v>
      </c>
      <c r="G684" s="1" t="s">
        <v>278</v>
      </c>
      <c r="H684" s="1" t="s">
        <v>279</v>
      </c>
      <c r="I684" s="1" t="s">
        <v>172</v>
      </c>
      <c r="J684" s="1" t="s">
        <v>125</v>
      </c>
      <c r="K684" s="1" t="s">
        <v>109</v>
      </c>
      <c r="L684" s="1">
        <v>2461211</v>
      </c>
      <c r="M684" s="1" t="s">
        <v>896</v>
      </c>
      <c r="N684" s="5">
        <f t="shared" si="251"/>
        <v>42796</v>
      </c>
      <c r="O684" s="5">
        <f t="shared" si="252"/>
        <v>44256</v>
      </c>
      <c r="P684" s="5">
        <f t="shared" si="231"/>
        <v>45351</v>
      </c>
      <c r="Q684" s="1">
        <v>3470</v>
      </c>
      <c r="R684" s="1">
        <v>3200</v>
      </c>
      <c r="S684" s="1">
        <f t="shared" si="232"/>
        <v>3200</v>
      </c>
      <c r="T684" s="1">
        <v>2.5</v>
      </c>
      <c r="U684" s="1" t="str">
        <f t="shared" si="233"/>
        <v>SIM</v>
      </c>
      <c r="V684" s="1">
        <f t="shared" si="234"/>
        <v>1461</v>
      </c>
      <c r="W684" s="4">
        <f t="shared" si="235"/>
        <v>2.1902806297056809</v>
      </c>
      <c r="X684" s="4">
        <f t="shared" si="236"/>
        <v>799.45242984257357</v>
      </c>
      <c r="Y684" s="4">
        <f t="shared" si="237"/>
        <v>0.99931553730321698</v>
      </c>
      <c r="AB684" s="5">
        <f t="shared" si="238"/>
        <v>45292</v>
      </c>
      <c r="AC684" s="5">
        <f t="shared" si="239"/>
        <v>45657</v>
      </c>
      <c r="AD684" s="1">
        <v>31</v>
      </c>
      <c r="AE684" s="1">
        <f t="shared" si="240"/>
        <v>0</v>
      </c>
      <c r="AF684" s="1">
        <f t="shared" si="241"/>
        <v>0</v>
      </c>
      <c r="AG684" s="1">
        <f t="shared" si="242"/>
        <v>0</v>
      </c>
      <c r="AH684" s="1">
        <f t="shared" si="243"/>
        <v>0</v>
      </c>
      <c r="AI684" s="1">
        <f t="shared" si="244"/>
        <v>183</v>
      </c>
      <c r="AJ684" s="3">
        <f t="shared" si="245"/>
        <v>0.5</v>
      </c>
      <c r="AK684" s="3">
        <f t="shared" si="246"/>
        <v>0.49965776865160849</v>
      </c>
      <c r="AL684" s="3">
        <f t="shared" si="247"/>
        <v>7.7446954140999313</v>
      </c>
      <c r="AM684" s="3">
        <f t="shared" si="248"/>
        <v>19.361738535249827</v>
      </c>
      <c r="AN684" s="3">
        <f t="shared" si="249"/>
        <v>0</v>
      </c>
      <c r="AO684" s="3">
        <f t="shared" si="250"/>
        <v>19.361738535249827</v>
      </c>
      <c r="AP684" s="1" t="str">
        <f>INDEX({"EAD";"EAD";"EAD";"EAD MOOC";"EAD";"EAD";"EAD FP";"EAD";"PRESENCIAL";"PRESENCIAL";"PRESENCIAL";"PRESENCIAL"}, MATCH(CONCATENATE(E684, ".", F684),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85" spans="1:42" x14ac:dyDescent="0.25">
      <c r="A685" s="1" t="s">
        <v>27</v>
      </c>
      <c r="B685" s="1" t="s">
        <v>43</v>
      </c>
      <c r="C685" s="1" t="s">
        <v>29</v>
      </c>
      <c r="D685" s="1" t="s">
        <v>45</v>
      </c>
      <c r="E685" s="1" t="s">
        <v>170</v>
      </c>
      <c r="F685" s="1" t="s">
        <v>510</v>
      </c>
      <c r="G685" s="1" t="s">
        <v>278</v>
      </c>
      <c r="H685" s="1" t="s">
        <v>279</v>
      </c>
      <c r="I685" s="1" t="s">
        <v>172</v>
      </c>
      <c r="J685" s="1" t="s">
        <v>125</v>
      </c>
      <c r="K685" s="1" t="s">
        <v>109</v>
      </c>
      <c r="L685" s="1">
        <v>2461225</v>
      </c>
      <c r="M685" s="1" t="s">
        <v>896</v>
      </c>
      <c r="N685" s="5">
        <f t="shared" si="251"/>
        <v>42796</v>
      </c>
      <c r="O685" s="5">
        <f t="shared" si="252"/>
        <v>44256</v>
      </c>
      <c r="P685" s="5">
        <f t="shared" si="231"/>
        <v>45351</v>
      </c>
      <c r="Q685" s="1">
        <v>3470</v>
      </c>
      <c r="R685" s="1">
        <v>3200</v>
      </c>
      <c r="S685" s="1">
        <f t="shared" si="232"/>
        <v>3200</v>
      </c>
      <c r="T685" s="1">
        <v>2.5</v>
      </c>
      <c r="U685" s="1" t="str">
        <f t="shared" si="233"/>
        <v>SIM</v>
      </c>
      <c r="V685" s="1">
        <f t="shared" si="234"/>
        <v>1461</v>
      </c>
      <c r="W685" s="4">
        <f t="shared" si="235"/>
        <v>2.1902806297056809</v>
      </c>
      <c r="X685" s="4">
        <f t="shared" si="236"/>
        <v>799.45242984257357</v>
      </c>
      <c r="Y685" s="4">
        <f t="shared" si="237"/>
        <v>0.99931553730321698</v>
      </c>
      <c r="AB685" s="5">
        <f t="shared" si="238"/>
        <v>45292</v>
      </c>
      <c r="AC685" s="5">
        <f t="shared" si="239"/>
        <v>45657</v>
      </c>
      <c r="AD685" s="1">
        <v>11</v>
      </c>
      <c r="AE685" s="1">
        <f t="shared" si="240"/>
        <v>0</v>
      </c>
      <c r="AF685" s="1">
        <f t="shared" si="241"/>
        <v>0</v>
      </c>
      <c r="AG685" s="1">
        <f t="shared" si="242"/>
        <v>0</v>
      </c>
      <c r="AH685" s="1">
        <f t="shared" si="243"/>
        <v>0</v>
      </c>
      <c r="AI685" s="1">
        <f t="shared" si="244"/>
        <v>183</v>
      </c>
      <c r="AJ685" s="3">
        <f t="shared" si="245"/>
        <v>0.5</v>
      </c>
      <c r="AK685" s="3">
        <f t="shared" si="246"/>
        <v>0.49965776865160849</v>
      </c>
      <c r="AL685" s="3">
        <f t="shared" si="247"/>
        <v>2.7481177275838466</v>
      </c>
      <c r="AM685" s="3">
        <f t="shared" si="248"/>
        <v>6.8702943189596164</v>
      </c>
      <c r="AN685" s="3">
        <f t="shared" si="249"/>
        <v>0</v>
      </c>
      <c r="AO685" s="3">
        <f t="shared" si="250"/>
        <v>6.8702943189596164</v>
      </c>
      <c r="AP685" s="1" t="str">
        <f>INDEX({"EAD";"EAD";"EAD";"EAD MOOC";"EAD";"EAD";"EAD FP";"EAD";"PRESENCIAL";"PRESENCIAL";"PRESENCIAL";"PRESENCIAL"}, MATCH(CONCATENATE(E685, ".", F685),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86" spans="1:42" x14ac:dyDescent="0.25">
      <c r="A686" s="1" t="s">
        <v>27</v>
      </c>
      <c r="B686" s="1" t="s">
        <v>43</v>
      </c>
      <c r="C686" s="1" t="s">
        <v>29</v>
      </c>
      <c r="D686" s="1" t="s">
        <v>45</v>
      </c>
      <c r="E686" s="1" t="s">
        <v>170</v>
      </c>
      <c r="F686" s="1" t="s">
        <v>510</v>
      </c>
      <c r="G686" s="1" t="s">
        <v>278</v>
      </c>
      <c r="H686" s="1" t="s">
        <v>279</v>
      </c>
      <c r="I686" s="1" t="s">
        <v>172</v>
      </c>
      <c r="J686" s="1" t="s">
        <v>125</v>
      </c>
      <c r="K686" s="1" t="s">
        <v>109</v>
      </c>
      <c r="L686" s="1">
        <v>2461226</v>
      </c>
      <c r="M686" s="1" t="s">
        <v>896</v>
      </c>
      <c r="N686" s="5">
        <f t="shared" si="251"/>
        <v>42796</v>
      </c>
      <c r="O686" s="5">
        <f t="shared" si="252"/>
        <v>44256</v>
      </c>
      <c r="P686" s="5">
        <f t="shared" si="231"/>
        <v>45351</v>
      </c>
      <c r="Q686" s="1">
        <v>3470</v>
      </c>
      <c r="R686" s="1">
        <v>3200</v>
      </c>
      <c r="S686" s="1">
        <f t="shared" si="232"/>
        <v>3200</v>
      </c>
      <c r="T686" s="1">
        <v>2.5</v>
      </c>
      <c r="U686" s="1" t="str">
        <f t="shared" si="233"/>
        <v>SIM</v>
      </c>
      <c r="V686" s="1">
        <f t="shared" si="234"/>
        <v>1461</v>
      </c>
      <c r="W686" s="4">
        <f t="shared" si="235"/>
        <v>2.1902806297056809</v>
      </c>
      <c r="X686" s="4">
        <f t="shared" si="236"/>
        <v>799.45242984257357</v>
      </c>
      <c r="Y686" s="4">
        <f t="shared" si="237"/>
        <v>0.99931553730321698</v>
      </c>
      <c r="AB686" s="5">
        <f t="shared" si="238"/>
        <v>45292</v>
      </c>
      <c r="AC686" s="5">
        <f t="shared" si="239"/>
        <v>45657</v>
      </c>
      <c r="AD686" s="1">
        <v>30</v>
      </c>
      <c r="AE686" s="1">
        <f t="shared" si="240"/>
        <v>0</v>
      </c>
      <c r="AF686" s="1">
        <f t="shared" si="241"/>
        <v>0</v>
      </c>
      <c r="AG686" s="1">
        <f t="shared" si="242"/>
        <v>0</v>
      </c>
      <c r="AH686" s="1">
        <f t="shared" si="243"/>
        <v>0</v>
      </c>
      <c r="AI686" s="1">
        <f t="shared" si="244"/>
        <v>183</v>
      </c>
      <c r="AJ686" s="3">
        <f t="shared" si="245"/>
        <v>0.5</v>
      </c>
      <c r="AK686" s="3">
        <f t="shared" si="246"/>
        <v>0.49965776865160849</v>
      </c>
      <c r="AL686" s="3">
        <f t="shared" si="247"/>
        <v>7.4948665297741277</v>
      </c>
      <c r="AM686" s="3">
        <f t="shared" si="248"/>
        <v>18.737166324435318</v>
      </c>
      <c r="AN686" s="3">
        <f t="shared" si="249"/>
        <v>0</v>
      </c>
      <c r="AO686" s="3">
        <f t="shared" si="250"/>
        <v>18.737166324435318</v>
      </c>
      <c r="AP686" s="1" t="str">
        <f>INDEX({"EAD";"EAD";"EAD";"EAD MOOC";"EAD";"EAD";"EAD FP";"EAD";"PRESENCIAL";"PRESENCIAL";"PRESENCIAL";"PRESENCIAL"}, MATCH(CONCATENATE(E686, ".", F686),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87" spans="1:42" x14ac:dyDescent="0.25">
      <c r="A687" s="1" t="s">
        <v>27</v>
      </c>
      <c r="B687" s="1" t="s">
        <v>43</v>
      </c>
      <c r="C687" s="1" t="s">
        <v>29</v>
      </c>
      <c r="D687" s="1" t="s">
        <v>45</v>
      </c>
      <c r="E687" s="1" t="s">
        <v>170</v>
      </c>
      <c r="F687" s="1" t="s">
        <v>510</v>
      </c>
      <c r="G687" s="1" t="s">
        <v>278</v>
      </c>
      <c r="H687" s="1" t="s">
        <v>279</v>
      </c>
      <c r="I687" s="1" t="s">
        <v>172</v>
      </c>
      <c r="J687" s="1" t="s">
        <v>125</v>
      </c>
      <c r="K687" s="1" t="s">
        <v>109</v>
      </c>
      <c r="L687" s="1">
        <v>2461228</v>
      </c>
      <c r="M687" s="1" t="s">
        <v>896</v>
      </c>
      <c r="N687" s="5">
        <f t="shared" si="251"/>
        <v>42796</v>
      </c>
      <c r="O687" s="5">
        <f t="shared" si="252"/>
        <v>44256</v>
      </c>
      <c r="P687" s="5">
        <f t="shared" si="231"/>
        <v>45351</v>
      </c>
      <c r="Q687" s="1">
        <v>3470</v>
      </c>
      <c r="R687" s="1">
        <v>3200</v>
      </c>
      <c r="S687" s="1">
        <f t="shared" si="232"/>
        <v>3200</v>
      </c>
      <c r="T687" s="1">
        <v>2.5</v>
      </c>
      <c r="U687" s="1" t="str">
        <f t="shared" si="233"/>
        <v>SIM</v>
      </c>
      <c r="V687" s="1">
        <f t="shared" si="234"/>
        <v>1461</v>
      </c>
      <c r="W687" s="4">
        <f t="shared" si="235"/>
        <v>2.1902806297056809</v>
      </c>
      <c r="X687" s="4">
        <f t="shared" si="236"/>
        <v>799.45242984257357</v>
      </c>
      <c r="Y687" s="4">
        <f t="shared" si="237"/>
        <v>0.99931553730321698</v>
      </c>
      <c r="AB687" s="5">
        <f t="shared" si="238"/>
        <v>45292</v>
      </c>
      <c r="AC687" s="5">
        <f t="shared" si="239"/>
        <v>45657</v>
      </c>
      <c r="AD687" s="1">
        <v>4</v>
      </c>
      <c r="AE687" s="1">
        <f t="shared" si="240"/>
        <v>0</v>
      </c>
      <c r="AF687" s="1">
        <f t="shared" si="241"/>
        <v>0</v>
      </c>
      <c r="AG687" s="1">
        <f t="shared" si="242"/>
        <v>0</v>
      </c>
      <c r="AH687" s="1">
        <f t="shared" si="243"/>
        <v>0</v>
      </c>
      <c r="AI687" s="1">
        <f t="shared" si="244"/>
        <v>183</v>
      </c>
      <c r="AJ687" s="3">
        <f t="shared" si="245"/>
        <v>0.5</v>
      </c>
      <c r="AK687" s="3">
        <f t="shared" si="246"/>
        <v>0.49965776865160849</v>
      </c>
      <c r="AL687" s="3">
        <f t="shared" si="247"/>
        <v>0.99931553730321698</v>
      </c>
      <c r="AM687" s="3">
        <f t="shared" si="248"/>
        <v>2.4982888432580426</v>
      </c>
      <c r="AN687" s="3">
        <f t="shared" si="249"/>
        <v>0</v>
      </c>
      <c r="AO687" s="3">
        <f t="shared" si="250"/>
        <v>2.4982888432580426</v>
      </c>
      <c r="AP687" s="1" t="str">
        <f>INDEX({"EAD";"EAD";"EAD";"EAD MOOC";"EAD";"EAD";"EAD FP";"EAD";"PRESENCIAL";"PRESENCIAL";"PRESENCIAL";"PRESENCIAL"}, MATCH(CONCATENATE(E687, ".", F687),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88" spans="1:42" x14ac:dyDescent="0.25">
      <c r="A688" s="1" t="s">
        <v>27</v>
      </c>
      <c r="B688" s="1" t="s">
        <v>43</v>
      </c>
      <c r="C688" s="1" t="s">
        <v>29</v>
      </c>
      <c r="D688" s="1" t="s">
        <v>45</v>
      </c>
      <c r="E688" s="1" t="s">
        <v>170</v>
      </c>
      <c r="F688" s="1" t="s">
        <v>510</v>
      </c>
      <c r="G688" s="1" t="s">
        <v>278</v>
      </c>
      <c r="H688" s="1" t="s">
        <v>279</v>
      </c>
      <c r="I688" s="1" t="s">
        <v>172</v>
      </c>
      <c r="J688" s="1" t="s">
        <v>125</v>
      </c>
      <c r="K688" s="1" t="s">
        <v>109</v>
      </c>
      <c r="L688" s="1">
        <v>2461229</v>
      </c>
      <c r="M688" s="1" t="s">
        <v>896</v>
      </c>
      <c r="N688" s="5">
        <f t="shared" si="251"/>
        <v>42796</v>
      </c>
      <c r="O688" s="5">
        <f t="shared" si="252"/>
        <v>44256</v>
      </c>
      <c r="P688" s="5">
        <f t="shared" si="231"/>
        <v>45351</v>
      </c>
      <c r="Q688" s="1">
        <v>3470</v>
      </c>
      <c r="R688" s="1">
        <v>3200</v>
      </c>
      <c r="S688" s="1">
        <f t="shared" si="232"/>
        <v>3200</v>
      </c>
      <c r="T688" s="1">
        <v>2.5</v>
      </c>
      <c r="U688" s="1" t="str">
        <f t="shared" si="233"/>
        <v>SIM</v>
      </c>
      <c r="V688" s="1">
        <f t="shared" si="234"/>
        <v>1461</v>
      </c>
      <c r="W688" s="4">
        <f t="shared" si="235"/>
        <v>2.1902806297056809</v>
      </c>
      <c r="X688" s="4">
        <f t="shared" si="236"/>
        <v>799.45242984257357</v>
      </c>
      <c r="Y688" s="4">
        <f t="shared" si="237"/>
        <v>0.99931553730321698</v>
      </c>
      <c r="AB688" s="5">
        <f t="shared" si="238"/>
        <v>45292</v>
      </c>
      <c r="AC688" s="5">
        <f t="shared" si="239"/>
        <v>45657</v>
      </c>
      <c r="AD688" s="1">
        <v>3</v>
      </c>
      <c r="AE688" s="1">
        <f t="shared" si="240"/>
        <v>0</v>
      </c>
      <c r="AF688" s="1">
        <f t="shared" si="241"/>
        <v>0</v>
      </c>
      <c r="AG688" s="1">
        <f t="shared" si="242"/>
        <v>0</v>
      </c>
      <c r="AH688" s="1">
        <f t="shared" si="243"/>
        <v>0</v>
      </c>
      <c r="AI688" s="1">
        <f t="shared" si="244"/>
        <v>183</v>
      </c>
      <c r="AJ688" s="3">
        <f t="shared" si="245"/>
        <v>0.5</v>
      </c>
      <c r="AK688" s="3">
        <f t="shared" si="246"/>
        <v>0.49965776865160849</v>
      </c>
      <c r="AL688" s="3">
        <f t="shared" si="247"/>
        <v>0.74948665297741268</v>
      </c>
      <c r="AM688" s="3">
        <f t="shared" si="248"/>
        <v>1.8737166324435317</v>
      </c>
      <c r="AN688" s="3">
        <f t="shared" si="249"/>
        <v>0</v>
      </c>
      <c r="AO688" s="3">
        <f t="shared" si="250"/>
        <v>1.8737166324435317</v>
      </c>
      <c r="AP688" s="1" t="str">
        <f>INDEX({"EAD";"EAD";"EAD";"EAD MOOC";"EAD";"EAD";"EAD FP";"EAD";"PRESENCIAL";"PRESENCIAL";"PRESENCIAL";"PRESENCIAL"}, MATCH(CONCATENATE(E688, ".", F688),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89" spans="1:42" x14ac:dyDescent="0.25">
      <c r="A689" s="1" t="s">
        <v>27</v>
      </c>
      <c r="B689" s="1" t="s">
        <v>43</v>
      </c>
      <c r="C689" s="1" t="s">
        <v>29</v>
      </c>
      <c r="D689" s="1" t="s">
        <v>45</v>
      </c>
      <c r="E689" s="1" t="s">
        <v>170</v>
      </c>
      <c r="F689" s="1" t="s">
        <v>510</v>
      </c>
      <c r="G689" s="1" t="s">
        <v>278</v>
      </c>
      <c r="H689" s="1" t="s">
        <v>320</v>
      </c>
      <c r="I689" s="1" t="s">
        <v>172</v>
      </c>
      <c r="J689" s="1" t="s">
        <v>125</v>
      </c>
      <c r="K689" s="1" t="s">
        <v>109</v>
      </c>
      <c r="L689" s="1">
        <v>2461232</v>
      </c>
      <c r="M689" s="1" t="s">
        <v>897</v>
      </c>
      <c r="N689" s="5">
        <f t="shared" si="251"/>
        <v>42796</v>
      </c>
      <c r="O689" s="5">
        <f t="shared" si="252"/>
        <v>44256</v>
      </c>
      <c r="P689" s="5">
        <f t="shared" si="231"/>
        <v>45351</v>
      </c>
      <c r="Q689" s="1">
        <v>3500</v>
      </c>
      <c r="R689" s="1">
        <v>3200</v>
      </c>
      <c r="S689" s="1">
        <f t="shared" si="232"/>
        <v>3200</v>
      </c>
      <c r="T689" s="1">
        <v>2.5</v>
      </c>
      <c r="U689" s="1" t="str">
        <f t="shared" si="233"/>
        <v>SIM</v>
      </c>
      <c r="V689" s="1">
        <f t="shared" si="234"/>
        <v>1461</v>
      </c>
      <c r="W689" s="4">
        <f t="shared" si="235"/>
        <v>2.1902806297056809</v>
      </c>
      <c r="X689" s="4">
        <f t="shared" si="236"/>
        <v>799.45242984257357</v>
      </c>
      <c r="Y689" s="4">
        <f t="shared" si="237"/>
        <v>0.99931553730321698</v>
      </c>
      <c r="AB689" s="5">
        <f t="shared" si="238"/>
        <v>45292</v>
      </c>
      <c r="AC689" s="5">
        <f t="shared" si="239"/>
        <v>45657</v>
      </c>
      <c r="AD689" s="1">
        <v>4</v>
      </c>
      <c r="AE689" s="1">
        <f t="shared" si="240"/>
        <v>0</v>
      </c>
      <c r="AF689" s="1">
        <f t="shared" si="241"/>
        <v>0</v>
      </c>
      <c r="AG689" s="1">
        <f t="shared" si="242"/>
        <v>0</v>
      </c>
      <c r="AH689" s="1">
        <f t="shared" si="243"/>
        <v>0</v>
      </c>
      <c r="AI689" s="1">
        <f t="shared" si="244"/>
        <v>183</v>
      </c>
      <c r="AJ689" s="3">
        <f t="shared" si="245"/>
        <v>0.5</v>
      </c>
      <c r="AK689" s="3">
        <f t="shared" si="246"/>
        <v>0.49965776865160849</v>
      </c>
      <c r="AL689" s="3">
        <f t="shared" si="247"/>
        <v>0.99931553730321698</v>
      </c>
      <c r="AM689" s="3">
        <f t="shared" si="248"/>
        <v>2.4982888432580426</v>
      </c>
      <c r="AN689" s="3">
        <f t="shared" si="249"/>
        <v>0</v>
      </c>
      <c r="AO689" s="3">
        <f t="shared" si="250"/>
        <v>2.4982888432580426</v>
      </c>
      <c r="AP689" s="1" t="str">
        <f>INDEX({"EAD";"EAD";"EAD";"EAD MOOC";"EAD";"EAD";"EAD FP";"EAD";"PRESENCIAL";"PRESENCIAL";"PRESENCIAL";"PRESENCIAL"}, MATCH(CONCATENATE(E689, ".", F689),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90" spans="1:42" x14ac:dyDescent="0.25">
      <c r="A690" s="1" t="s">
        <v>27</v>
      </c>
      <c r="B690" s="1" t="s">
        <v>43</v>
      </c>
      <c r="C690" s="1" t="s">
        <v>29</v>
      </c>
      <c r="D690" s="1" t="s">
        <v>45</v>
      </c>
      <c r="E690" s="1" t="s">
        <v>170</v>
      </c>
      <c r="F690" s="1" t="s">
        <v>510</v>
      </c>
      <c r="G690" s="1" t="s">
        <v>278</v>
      </c>
      <c r="H690" s="1" t="s">
        <v>320</v>
      </c>
      <c r="I690" s="1" t="s">
        <v>172</v>
      </c>
      <c r="J690" s="1" t="s">
        <v>125</v>
      </c>
      <c r="K690" s="1" t="s">
        <v>109</v>
      </c>
      <c r="L690" s="1">
        <v>2461233</v>
      </c>
      <c r="M690" s="1" t="s">
        <v>897</v>
      </c>
      <c r="N690" s="5">
        <f t="shared" si="251"/>
        <v>42796</v>
      </c>
      <c r="O690" s="5">
        <f t="shared" si="252"/>
        <v>44256</v>
      </c>
      <c r="P690" s="5">
        <f t="shared" si="231"/>
        <v>45351</v>
      </c>
      <c r="Q690" s="1">
        <v>3500</v>
      </c>
      <c r="R690" s="1">
        <v>3200</v>
      </c>
      <c r="S690" s="1">
        <f t="shared" si="232"/>
        <v>3200</v>
      </c>
      <c r="T690" s="1">
        <v>2.5</v>
      </c>
      <c r="U690" s="1" t="str">
        <f t="shared" si="233"/>
        <v>SIM</v>
      </c>
      <c r="V690" s="1">
        <f t="shared" si="234"/>
        <v>1461</v>
      </c>
      <c r="W690" s="4">
        <f t="shared" si="235"/>
        <v>2.1902806297056809</v>
      </c>
      <c r="X690" s="4">
        <f t="shared" si="236"/>
        <v>799.45242984257357</v>
      </c>
      <c r="Y690" s="4">
        <f t="shared" si="237"/>
        <v>0.99931553730321698</v>
      </c>
      <c r="AB690" s="5">
        <f t="shared" si="238"/>
        <v>45292</v>
      </c>
      <c r="AC690" s="5">
        <f t="shared" si="239"/>
        <v>45657</v>
      </c>
      <c r="AD690" s="1">
        <v>10</v>
      </c>
      <c r="AE690" s="1">
        <f t="shared" si="240"/>
        <v>0</v>
      </c>
      <c r="AF690" s="1">
        <f t="shared" si="241"/>
        <v>0</v>
      </c>
      <c r="AG690" s="1">
        <f t="shared" si="242"/>
        <v>0</v>
      </c>
      <c r="AH690" s="1">
        <f t="shared" si="243"/>
        <v>0</v>
      </c>
      <c r="AI690" s="1">
        <f t="shared" si="244"/>
        <v>183</v>
      </c>
      <c r="AJ690" s="3">
        <f t="shared" si="245"/>
        <v>0.5</v>
      </c>
      <c r="AK690" s="3">
        <f t="shared" si="246"/>
        <v>0.49965776865160849</v>
      </c>
      <c r="AL690" s="3">
        <f t="shared" si="247"/>
        <v>2.4982888432580426</v>
      </c>
      <c r="AM690" s="3">
        <f t="shared" si="248"/>
        <v>6.245722108145106</v>
      </c>
      <c r="AN690" s="3">
        <f t="shared" si="249"/>
        <v>0</v>
      </c>
      <c r="AO690" s="3">
        <f t="shared" si="250"/>
        <v>6.245722108145106</v>
      </c>
      <c r="AP690" s="1" t="str">
        <f>INDEX({"EAD";"EAD";"EAD";"EAD MOOC";"EAD";"EAD";"EAD FP";"EAD";"PRESENCIAL";"PRESENCIAL";"PRESENCIAL";"PRESENCIAL"}, MATCH(CONCATENATE(E690, ".", F690),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91" spans="1:42" x14ac:dyDescent="0.25">
      <c r="A691" s="1" t="s">
        <v>27</v>
      </c>
      <c r="B691" s="1" t="s">
        <v>43</v>
      </c>
      <c r="C691" s="1" t="s">
        <v>29</v>
      </c>
      <c r="D691" s="1" t="s">
        <v>45</v>
      </c>
      <c r="E691" s="1" t="s">
        <v>170</v>
      </c>
      <c r="F691" s="1" t="s">
        <v>510</v>
      </c>
      <c r="G691" s="1" t="s">
        <v>278</v>
      </c>
      <c r="H691" s="1" t="s">
        <v>320</v>
      </c>
      <c r="I691" s="1" t="s">
        <v>172</v>
      </c>
      <c r="J691" s="1" t="s">
        <v>125</v>
      </c>
      <c r="K691" s="1" t="s">
        <v>109</v>
      </c>
      <c r="L691" s="1">
        <v>2461237</v>
      </c>
      <c r="M691" s="1" t="s">
        <v>897</v>
      </c>
      <c r="N691" s="5">
        <f t="shared" si="251"/>
        <v>42796</v>
      </c>
      <c r="O691" s="5">
        <f t="shared" si="252"/>
        <v>44256</v>
      </c>
      <c r="P691" s="5">
        <f t="shared" si="231"/>
        <v>45351</v>
      </c>
      <c r="Q691" s="1">
        <v>3500</v>
      </c>
      <c r="R691" s="1">
        <v>3200</v>
      </c>
      <c r="S691" s="1">
        <f t="shared" si="232"/>
        <v>3200</v>
      </c>
      <c r="T691" s="1">
        <v>2.5</v>
      </c>
      <c r="U691" s="1" t="str">
        <f t="shared" si="233"/>
        <v>SIM</v>
      </c>
      <c r="V691" s="1">
        <f t="shared" si="234"/>
        <v>1461</v>
      </c>
      <c r="W691" s="4">
        <f t="shared" si="235"/>
        <v>2.1902806297056809</v>
      </c>
      <c r="X691" s="4">
        <f t="shared" si="236"/>
        <v>799.45242984257357</v>
      </c>
      <c r="Y691" s="4">
        <f t="shared" si="237"/>
        <v>0.99931553730321698</v>
      </c>
      <c r="AB691" s="5">
        <f t="shared" si="238"/>
        <v>45292</v>
      </c>
      <c r="AC691" s="5">
        <f t="shared" si="239"/>
        <v>45657</v>
      </c>
      <c r="AD691" s="1">
        <v>14</v>
      </c>
      <c r="AE691" s="1">
        <f t="shared" si="240"/>
        <v>0</v>
      </c>
      <c r="AF691" s="1">
        <f t="shared" si="241"/>
        <v>0</v>
      </c>
      <c r="AG691" s="1">
        <f t="shared" si="242"/>
        <v>0</v>
      </c>
      <c r="AH691" s="1">
        <f t="shared" si="243"/>
        <v>0</v>
      </c>
      <c r="AI691" s="1">
        <f t="shared" si="244"/>
        <v>183</v>
      </c>
      <c r="AJ691" s="3">
        <f t="shared" si="245"/>
        <v>0.5</v>
      </c>
      <c r="AK691" s="3">
        <f t="shared" si="246"/>
        <v>0.49965776865160849</v>
      </c>
      <c r="AL691" s="3">
        <f t="shared" si="247"/>
        <v>3.4976043805612593</v>
      </c>
      <c r="AM691" s="3">
        <f t="shared" si="248"/>
        <v>8.7440109514031477</v>
      </c>
      <c r="AN691" s="3">
        <f t="shared" si="249"/>
        <v>0</v>
      </c>
      <c r="AO691" s="3">
        <f t="shared" si="250"/>
        <v>8.7440109514031477</v>
      </c>
      <c r="AP691" s="1" t="str">
        <f>INDEX({"EAD";"EAD";"EAD";"EAD MOOC";"EAD";"EAD";"EAD FP";"EAD";"PRESENCIAL";"PRESENCIAL";"PRESENCIAL";"PRESENCIAL"}, MATCH(CONCATENATE(E691, ".", F691),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92" spans="1:42" x14ac:dyDescent="0.25">
      <c r="A692" s="1" t="s">
        <v>27</v>
      </c>
      <c r="B692" s="1" t="s">
        <v>43</v>
      </c>
      <c r="C692" s="1" t="s">
        <v>29</v>
      </c>
      <c r="D692" s="1" t="s">
        <v>45</v>
      </c>
      <c r="E692" s="1" t="s">
        <v>170</v>
      </c>
      <c r="F692" s="1" t="s">
        <v>510</v>
      </c>
      <c r="G692" s="1" t="s">
        <v>278</v>
      </c>
      <c r="H692" s="1" t="s">
        <v>320</v>
      </c>
      <c r="I692" s="1" t="s">
        <v>172</v>
      </c>
      <c r="J692" s="1" t="s">
        <v>125</v>
      </c>
      <c r="K692" s="1" t="s">
        <v>109</v>
      </c>
      <c r="L692" s="1">
        <v>2461238</v>
      </c>
      <c r="M692" s="1" t="s">
        <v>897</v>
      </c>
      <c r="N692" s="5">
        <f t="shared" si="251"/>
        <v>42796</v>
      </c>
      <c r="O692" s="5">
        <f t="shared" si="252"/>
        <v>44256</v>
      </c>
      <c r="P692" s="5">
        <f t="shared" si="231"/>
        <v>45351</v>
      </c>
      <c r="Q692" s="1">
        <v>3500</v>
      </c>
      <c r="R692" s="1">
        <v>3200</v>
      </c>
      <c r="S692" s="1">
        <f t="shared" si="232"/>
        <v>3200</v>
      </c>
      <c r="T692" s="1">
        <v>2.5</v>
      </c>
      <c r="U692" s="1" t="str">
        <f t="shared" si="233"/>
        <v>SIM</v>
      </c>
      <c r="V692" s="1">
        <f t="shared" si="234"/>
        <v>1461</v>
      </c>
      <c r="W692" s="4">
        <f t="shared" si="235"/>
        <v>2.1902806297056809</v>
      </c>
      <c r="X692" s="4">
        <f t="shared" si="236"/>
        <v>799.45242984257357</v>
      </c>
      <c r="Y692" s="4">
        <f t="shared" si="237"/>
        <v>0.99931553730321698</v>
      </c>
      <c r="AB692" s="5">
        <f t="shared" si="238"/>
        <v>45292</v>
      </c>
      <c r="AC692" s="5">
        <f t="shared" si="239"/>
        <v>45657</v>
      </c>
      <c r="AD692" s="1">
        <v>7</v>
      </c>
      <c r="AE692" s="1">
        <f t="shared" si="240"/>
        <v>0</v>
      </c>
      <c r="AF692" s="1">
        <f t="shared" si="241"/>
        <v>0</v>
      </c>
      <c r="AG692" s="1">
        <f t="shared" si="242"/>
        <v>0</v>
      </c>
      <c r="AH692" s="1">
        <f t="shared" si="243"/>
        <v>0</v>
      </c>
      <c r="AI692" s="1">
        <f t="shared" si="244"/>
        <v>183</v>
      </c>
      <c r="AJ692" s="3">
        <f t="shared" si="245"/>
        <v>0.5</v>
      </c>
      <c r="AK692" s="3">
        <f t="shared" si="246"/>
        <v>0.49965776865160849</v>
      </c>
      <c r="AL692" s="3">
        <f t="shared" si="247"/>
        <v>1.7488021902806297</v>
      </c>
      <c r="AM692" s="3">
        <f t="shared" si="248"/>
        <v>4.3720054757015738</v>
      </c>
      <c r="AN692" s="3">
        <f t="shared" si="249"/>
        <v>0</v>
      </c>
      <c r="AO692" s="3">
        <f t="shared" si="250"/>
        <v>4.3720054757015738</v>
      </c>
      <c r="AP692" s="1" t="str">
        <f>INDEX({"EAD";"EAD";"EAD";"EAD MOOC";"EAD";"EAD";"EAD FP";"EAD";"PRESENCIAL";"PRESENCIAL";"PRESENCIAL";"PRESENCIAL"}, MATCH(CONCATENATE(E692, ".", F692),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93" spans="1:42" x14ac:dyDescent="0.25">
      <c r="A693" s="1" t="s">
        <v>27</v>
      </c>
      <c r="B693" s="1" t="s">
        <v>43</v>
      </c>
      <c r="C693" s="1" t="s">
        <v>29</v>
      </c>
      <c r="D693" s="1" t="s">
        <v>45</v>
      </c>
      <c r="E693" s="1" t="s">
        <v>170</v>
      </c>
      <c r="F693" s="1" t="s">
        <v>510</v>
      </c>
      <c r="G693" s="1" t="s">
        <v>278</v>
      </c>
      <c r="H693" s="1" t="s">
        <v>320</v>
      </c>
      <c r="I693" s="1" t="s">
        <v>172</v>
      </c>
      <c r="J693" s="1" t="s">
        <v>125</v>
      </c>
      <c r="K693" s="1" t="s">
        <v>109</v>
      </c>
      <c r="L693" s="1">
        <v>2461240</v>
      </c>
      <c r="M693" s="1" t="s">
        <v>897</v>
      </c>
      <c r="N693" s="5">
        <f t="shared" si="251"/>
        <v>42796</v>
      </c>
      <c r="O693" s="5">
        <f t="shared" si="252"/>
        <v>44256</v>
      </c>
      <c r="P693" s="5">
        <f t="shared" si="231"/>
        <v>45351</v>
      </c>
      <c r="Q693" s="1">
        <v>3500</v>
      </c>
      <c r="R693" s="1">
        <v>3200</v>
      </c>
      <c r="S693" s="1">
        <f t="shared" si="232"/>
        <v>3200</v>
      </c>
      <c r="T693" s="1">
        <v>2.5</v>
      </c>
      <c r="U693" s="1" t="str">
        <f t="shared" si="233"/>
        <v>SIM</v>
      </c>
      <c r="V693" s="1">
        <f t="shared" si="234"/>
        <v>1461</v>
      </c>
      <c r="W693" s="4">
        <f t="shared" si="235"/>
        <v>2.1902806297056809</v>
      </c>
      <c r="X693" s="4">
        <f t="shared" si="236"/>
        <v>799.45242984257357</v>
      </c>
      <c r="Y693" s="4">
        <f t="shared" si="237"/>
        <v>0.99931553730321698</v>
      </c>
      <c r="AB693" s="5">
        <f t="shared" si="238"/>
        <v>45292</v>
      </c>
      <c r="AC693" s="5">
        <f t="shared" si="239"/>
        <v>45657</v>
      </c>
      <c r="AD693" s="1">
        <v>2</v>
      </c>
      <c r="AE693" s="1">
        <f t="shared" si="240"/>
        <v>0</v>
      </c>
      <c r="AF693" s="1">
        <f t="shared" si="241"/>
        <v>0</v>
      </c>
      <c r="AG693" s="1">
        <f t="shared" si="242"/>
        <v>0</v>
      </c>
      <c r="AH693" s="1">
        <f t="shared" si="243"/>
        <v>0</v>
      </c>
      <c r="AI693" s="1">
        <f t="shared" si="244"/>
        <v>183</v>
      </c>
      <c r="AJ693" s="3">
        <f t="shared" si="245"/>
        <v>0.5</v>
      </c>
      <c r="AK693" s="3">
        <f t="shared" si="246"/>
        <v>0.49965776865160849</v>
      </c>
      <c r="AL693" s="3">
        <f t="shared" si="247"/>
        <v>0.49965776865160849</v>
      </c>
      <c r="AM693" s="3">
        <f t="shared" si="248"/>
        <v>1.2491444216290213</v>
      </c>
      <c r="AN693" s="3">
        <f t="shared" si="249"/>
        <v>0</v>
      </c>
      <c r="AO693" s="3">
        <f t="shared" si="250"/>
        <v>1.2491444216290213</v>
      </c>
      <c r="AP693" s="1" t="str">
        <f>INDEX({"EAD";"EAD";"EAD";"EAD MOOC";"EAD";"EAD";"EAD FP";"EAD";"PRESENCIAL";"PRESENCIAL";"PRESENCIAL";"PRESENCIAL"}, MATCH(CONCATENATE(E693, ".", F693),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94" spans="1:42" x14ac:dyDescent="0.25">
      <c r="A694" s="1" t="s">
        <v>27</v>
      </c>
      <c r="B694" s="1" t="s">
        <v>43</v>
      </c>
      <c r="C694" s="1" t="s">
        <v>29</v>
      </c>
      <c r="D694" s="1" t="s">
        <v>45</v>
      </c>
      <c r="E694" s="1" t="s">
        <v>170</v>
      </c>
      <c r="F694" s="1" t="s">
        <v>510</v>
      </c>
      <c r="G694" s="1" t="s">
        <v>278</v>
      </c>
      <c r="H694" s="1" t="s">
        <v>320</v>
      </c>
      <c r="I694" s="1" t="s">
        <v>172</v>
      </c>
      <c r="J694" s="1" t="s">
        <v>125</v>
      </c>
      <c r="K694" s="1" t="s">
        <v>109</v>
      </c>
      <c r="L694" s="1">
        <v>2461241</v>
      </c>
      <c r="M694" s="1" t="s">
        <v>897</v>
      </c>
      <c r="N694" s="5">
        <f t="shared" si="251"/>
        <v>42796</v>
      </c>
      <c r="O694" s="5">
        <f t="shared" si="252"/>
        <v>44256</v>
      </c>
      <c r="P694" s="5">
        <f t="shared" si="231"/>
        <v>45351</v>
      </c>
      <c r="Q694" s="1">
        <v>3500</v>
      </c>
      <c r="R694" s="1">
        <v>3200</v>
      </c>
      <c r="S694" s="1">
        <f t="shared" si="232"/>
        <v>3200</v>
      </c>
      <c r="T694" s="1">
        <v>2.5</v>
      </c>
      <c r="U694" s="1" t="str">
        <f t="shared" si="233"/>
        <v>SIM</v>
      </c>
      <c r="V694" s="1">
        <f t="shared" si="234"/>
        <v>1461</v>
      </c>
      <c r="W694" s="4">
        <f t="shared" si="235"/>
        <v>2.1902806297056809</v>
      </c>
      <c r="X694" s="4">
        <f t="shared" si="236"/>
        <v>799.45242984257357</v>
      </c>
      <c r="Y694" s="4">
        <f t="shared" si="237"/>
        <v>0.99931553730321698</v>
      </c>
      <c r="AB694" s="5">
        <f t="shared" si="238"/>
        <v>45292</v>
      </c>
      <c r="AC694" s="5">
        <f t="shared" si="239"/>
        <v>45657</v>
      </c>
      <c r="AD694" s="1">
        <v>3</v>
      </c>
      <c r="AE694" s="1">
        <f t="shared" si="240"/>
        <v>0</v>
      </c>
      <c r="AF694" s="1">
        <f t="shared" si="241"/>
        <v>0</v>
      </c>
      <c r="AG694" s="1">
        <f t="shared" si="242"/>
        <v>0</v>
      </c>
      <c r="AH694" s="1">
        <f t="shared" si="243"/>
        <v>0</v>
      </c>
      <c r="AI694" s="1">
        <f t="shared" si="244"/>
        <v>183</v>
      </c>
      <c r="AJ694" s="3">
        <f t="shared" si="245"/>
        <v>0.5</v>
      </c>
      <c r="AK694" s="3">
        <f t="shared" si="246"/>
        <v>0.49965776865160849</v>
      </c>
      <c r="AL694" s="3">
        <f t="shared" si="247"/>
        <v>0.74948665297741268</v>
      </c>
      <c r="AM694" s="3">
        <f t="shared" si="248"/>
        <v>1.8737166324435317</v>
      </c>
      <c r="AN694" s="3">
        <f t="shared" si="249"/>
        <v>0</v>
      </c>
      <c r="AO694" s="3">
        <f t="shared" si="250"/>
        <v>1.8737166324435317</v>
      </c>
      <c r="AP694" s="1" t="str">
        <f>INDEX({"EAD";"EAD";"EAD";"EAD MOOC";"EAD";"EAD";"EAD FP";"EAD";"PRESENCIAL";"PRESENCIAL";"PRESENCIAL";"PRESENCIAL"}, MATCH(CONCATENATE(E694, ".", F694),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95" spans="1:42" x14ac:dyDescent="0.25">
      <c r="A695" s="1" t="s">
        <v>27</v>
      </c>
      <c r="B695" s="1" t="s">
        <v>43</v>
      </c>
      <c r="C695" s="1" t="s">
        <v>29</v>
      </c>
      <c r="D695" s="1" t="s">
        <v>45</v>
      </c>
      <c r="E695" s="1" t="s">
        <v>170</v>
      </c>
      <c r="F695" s="1" t="s">
        <v>510</v>
      </c>
      <c r="G695" s="1" t="s">
        <v>278</v>
      </c>
      <c r="H695" s="1" t="s">
        <v>320</v>
      </c>
      <c r="I695" s="1" t="s">
        <v>172</v>
      </c>
      <c r="J695" s="1" t="s">
        <v>125</v>
      </c>
      <c r="K695" s="1" t="s">
        <v>109</v>
      </c>
      <c r="L695" s="1">
        <v>2461243</v>
      </c>
      <c r="M695" s="1" t="s">
        <v>897</v>
      </c>
      <c r="N695" s="5">
        <f t="shared" si="251"/>
        <v>42796</v>
      </c>
      <c r="O695" s="5">
        <f t="shared" si="252"/>
        <v>44256</v>
      </c>
      <c r="P695" s="5">
        <f t="shared" si="231"/>
        <v>45351</v>
      </c>
      <c r="Q695" s="1">
        <v>3500</v>
      </c>
      <c r="R695" s="1">
        <v>3200</v>
      </c>
      <c r="S695" s="1">
        <f t="shared" si="232"/>
        <v>3200</v>
      </c>
      <c r="T695" s="1">
        <v>2.5</v>
      </c>
      <c r="U695" s="1" t="str">
        <f t="shared" si="233"/>
        <v>SIM</v>
      </c>
      <c r="V695" s="1">
        <f t="shared" si="234"/>
        <v>1461</v>
      </c>
      <c r="W695" s="4">
        <f t="shared" si="235"/>
        <v>2.1902806297056809</v>
      </c>
      <c r="X695" s="4">
        <f t="shared" si="236"/>
        <v>799.45242984257357</v>
      </c>
      <c r="Y695" s="4">
        <f t="shared" si="237"/>
        <v>0.99931553730321698</v>
      </c>
      <c r="AB695" s="5">
        <f t="shared" si="238"/>
        <v>45292</v>
      </c>
      <c r="AC695" s="5">
        <f t="shared" si="239"/>
        <v>45657</v>
      </c>
      <c r="AD695" s="1">
        <v>12</v>
      </c>
      <c r="AE695" s="1">
        <f t="shared" si="240"/>
        <v>0</v>
      </c>
      <c r="AF695" s="1">
        <f t="shared" si="241"/>
        <v>0</v>
      </c>
      <c r="AG695" s="1">
        <f t="shared" si="242"/>
        <v>0</v>
      </c>
      <c r="AH695" s="1">
        <f t="shared" si="243"/>
        <v>0</v>
      </c>
      <c r="AI695" s="1">
        <f t="shared" si="244"/>
        <v>183</v>
      </c>
      <c r="AJ695" s="3">
        <f t="shared" si="245"/>
        <v>0.5</v>
      </c>
      <c r="AK695" s="3">
        <f t="shared" si="246"/>
        <v>0.49965776865160849</v>
      </c>
      <c r="AL695" s="3">
        <f t="shared" si="247"/>
        <v>2.9979466119096507</v>
      </c>
      <c r="AM695" s="3">
        <f t="shared" si="248"/>
        <v>7.4948665297741268</v>
      </c>
      <c r="AN695" s="3">
        <f t="shared" si="249"/>
        <v>0</v>
      </c>
      <c r="AO695" s="3">
        <f t="shared" si="250"/>
        <v>7.4948665297741268</v>
      </c>
      <c r="AP695" s="1" t="str">
        <f>INDEX({"EAD";"EAD";"EAD";"EAD MOOC";"EAD";"EAD";"EAD FP";"EAD";"PRESENCIAL";"PRESENCIAL";"PRESENCIAL";"PRESENCIAL"}, MATCH(CONCATENATE(E695, ".", F695),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96" spans="1:42" x14ac:dyDescent="0.25">
      <c r="A696" s="1" t="s">
        <v>27</v>
      </c>
      <c r="B696" s="1" t="s">
        <v>43</v>
      </c>
      <c r="C696" s="1" t="s">
        <v>29</v>
      </c>
      <c r="D696" s="1" t="s">
        <v>45</v>
      </c>
      <c r="E696" s="1" t="s">
        <v>170</v>
      </c>
      <c r="F696" s="1" t="s">
        <v>510</v>
      </c>
      <c r="G696" s="1" t="s">
        <v>278</v>
      </c>
      <c r="H696" s="1" t="s">
        <v>320</v>
      </c>
      <c r="I696" s="1" t="s">
        <v>172</v>
      </c>
      <c r="J696" s="1" t="s">
        <v>125</v>
      </c>
      <c r="K696" s="1" t="s">
        <v>109</v>
      </c>
      <c r="L696" s="1">
        <v>2461244</v>
      </c>
      <c r="M696" s="1" t="s">
        <v>897</v>
      </c>
      <c r="N696" s="5">
        <f t="shared" si="251"/>
        <v>42796</v>
      </c>
      <c r="O696" s="5">
        <f t="shared" si="252"/>
        <v>44256</v>
      </c>
      <c r="P696" s="5">
        <f t="shared" si="231"/>
        <v>45351</v>
      </c>
      <c r="Q696" s="1">
        <v>3500</v>
      </c>
      <c r="R696" s="1">
        <v>3200</v>
      </c>
      <c r="S696" s="1">
        <f t="shared" si="232"/>
        <v>3200</v>
      </c>
      <c r="T696" s="1">
        <v>2.5</v>
      </c>
      <c r="U696" s="1" t="str">
        <f t="shared" si="233"/>
        <v>SIM</v>
      </c>
      <c r="V696" s="1">
        <f t="shared" si="234"/>
        <v>1461</v>
      </c>
      <c r="W696" s="4">
        <f t="shared" si="235"/>
        <v>2.1902806297056809</v>
      </c>
      <c r="X696" s="4">
        <f t="shared" si="236"/>
        <v>799.45242984257357</v>
      </c>
      <c r="Y696" s="4">
        <f t="shared" si="237"/>
        <v>0.99931553730321698</v>
      </c>
      <c r="AB696" s="5">
        <f t="shared" si="238"/>
        <v>45292</v>
      </c>
      <c r="AC696" s="5">
        <f t="shared" si="239"/>
        <v>45657</v>
      </c>
      <c r="AD696" s="1">
        <v>7</v>
      </c>
      <c r="AE696" s="1">
        <f t="shared" si="240"/>
        <v>0</v>
      </c>
      <c r="AF696" s="1">
        <f t="shared" si="241"/>
        <v>0</v>
      </c>
      <c r="AG696" s="1">
        <f t="shared" si="242"/>
        <v>0</v>
      </c>
      <c r="AH696" s="1">
        <f t="shared" si="243"/>
        <v>0</v>
      </c>
      <c r="AI696" s="1">
        <f t="shared" si="244"/>
        <v>183</v>
      </c>
      <c r="AJ696" s="3">
        <f t="shared" si="245"/>
        <v>0.5</v>
      </c>
      <c r="AK696" s="3">
        <f t="shared" si="246"/>
        <v>0.49965776865160849</v>
      </c>
      <c r="AL696" s="3">
        <f t="shared" si="247"/>
        <v>1.7488021902806297</v>
      </c>
      <c r="AM696" s="3">
        <f t="shared" si="248"/>
        <v>4.3720054757015738</v>
      </c>
      <c r="AN696" s="3">
        <f t="shared" si="249"/>
        <v>0</v>
      </c>
      <c r="AO696" s="3">
        <f t="shared" si="250"/>
        <v>4.3720054757015738</v>
      </c>
      <c r="AP696" s="1" t="str">
        <f>INDEX({"EAD";"EAD";"EAD";"EAD MOOC";"EAD";"EAD";"EAD FP";"EAD";"PRESENCIAL";"PRESENCIAL";"PRESENCIAL";"PRESENCIAL"}, MATCH(CONCATENATE(E696, ".", F696),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97" spans="1:42" x14ac:dyDescent="0.25">
      <c r="A697" s="1" t="s">
        <v>27</v>
      </c>
      <c r="B697" s="1" t="s">
        <v>43</v>
      </c>
      <c r="C697" s="1" t="s">
        <v>29</v>
      </c>
      <c r="D697" s="1" t="s">
        <v>45</v>
      </c>
      <c r="E697" s="1" t="s">
        <v>170</v>
      </c>
      <c r="F697" s="1" t="s">
        <v>510</v>
      </c>
      <c r="G697" s="1" t="s">
        <v>278</v>
      </c>
      <c r="H697" s="1" t="s">
        <v>320</v>
      </c>
      <c r="I697" s="1" t="s">
        <v>172</v>
      </c>
      <c r="J697" s="1" t="s">
        <v>125</v>
      </c>
      <c r="K697" s="1" t="s">
        <v>109</v>
      </c>
      <c r="L697" s="1">
        <v>2461245</v>
      </c>
      <c r="M697" s="1" t="s">
        <v>897</v>
      </c>
      <c r="N697" s="5">
        <f t="shared" si="251"/>
        <v>42796</v>
      </c>
      <c r="O697" s="5">
        <f t="shared" si="252"/>
        <v>44256</v>
      </c>
      <c r="P697" s="5">
        <f t="shared" si="231"/>
        <v>45351</v>
      </c>
      <c r="Q697" s="1">
        <v>3500</v>
      </c>
      <c r="R697" s="1">
        <v>3200</v>
      </c>
      <c r="S697" s="1">
        <f t="shared" si="232"/>
        <v>3200</v>
      </c>
      <c r="T697" s="1">
        <v>2.5</v>
      </c>
      <c r="U697" s="1" t="str">
        <f t="shared" si="233"/>
        <v>SIM</v>
      </c>
      <c r="V697" s="1">
        <f t="shared" si="234"/>
        <v>1461</v>
      </c>
      <c r="W697" s="4">
        <f t="shared" si="235"/>
        <v>2.1902806297056809</v>
      </c>
      <c r="X697" s="4">
        <f t="shared" si="236"/>
        <v>799.45242984257357</v>
      </c>
      <c r="Y697" s="4">
        <f t="shared" si="237"/>
        <v>0.99931553730321698</v>
      </c>
      <c r="AB697" s="5">
        <f t="shared" si="238"/>
        <v>45292</v>
      </c>
      <c r="AC697" s="5">
        <f t="shared" si="239"/>
        <v>45657</v>
      </c>
      <c r="AD697" s="1">
        <v>11</v>
      </c>
      <c r="AE697" s="1">
        <f t="shared" si="240"/>
        <v>0</v>
      </c>
      <c r="AF697" s="1">
        <f t="shared" si="241"/>
        <v>0</v>
      </c>
      <c r="AG697" s="1">
        <f t="shared" si="242"/>
        <v>0</v>
      </c>
      <c r="AH697" s="1">
        <f t="shared" si="243"/>
        <v>0</v>
      </c>
      <c r="AI697" s="1">
        <f t="shared" si="244"/>
        <v>183</v>
      </c>
      <c r="AJ697" s="3">
        <f t="shared" si="245"/>
        <v>0.5</v>
      </c>
      <c r="AK697" s="3">
        <f t="shared" si="246"/>
        <v>0.49965776865160849</v>
      </c>
      <c r="AL697" s="3">
        <f t="shared" si="247"/>
        <v>2.7481177275838466</v>
      </c>
      <c r="AM697" s="3">
        <f t="shared" si="248"/>
        <v>6.8702943189596164</v>
      </c>
      <c r="AN697" s="3">
        <f t="shared" si="249"/>
        <v>0</v>
      </c>
      <c r="AO697" s="3">
        <f t="shared" si="250"/>
        <v>6.8702943189596164</v>
      </c>
      <c r="AP697" s="1" t="str">
        <f>INDEX({"EAD";"EAD";"EAD";"EAD MOOC";"EAD";"EAD";"EAD FP";"EAD";"PRESENCIAL";"PRESENCIAL";"PRESENCIAL";"PRESENCIAL"}, MATCH(CONCATENATE(E697, ".", F697),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98" spans="1:42" x14ac:dyDescent="0.25">
      <c r="A698" s="1" t="s">
        <v>27</v>
      </c>
      <c r="B698" s="1" t="s">
        <v>43</v>
      </c>
      <c r="C698" s="1" t="s">
        <v>29</v>
      </c>
      <c r="D698" s="1" t="s">
        <v>45</v>
      </c>
      <c r="E698" s="1" t="s">
        <v>170</v>
      </c>
      <c r="F698" s="1" t="s">
        <v>510</v>
      </c>
      <c r="G698" s="1" t="s">
        <v>278</v>
      </c>
      <c r="H698" s="1" t="s">
        <v>320</v>
      </c>
      <c r="I698" s="1" t="s">
        <v>172</v>
      </c>
      <c r="J698" s="1" t="s">
        <v>125</v>
      </c>
      <c r="K698" s="1" t="s">
        <v>109</v>
      </c>
      <c r="L698" s="1">
        <v>2461246</v>
      </c>
      <c r="M698" s="1" t="s">
        <v>897</v>
      </c>
      <c r="N698" s="5">
        <f t="shared" si="251"/>
        <v>42796</v>
      </c>
      <c r="O698" s="5">
        <f t="shared" si="252"/>
        <v>44256</v>
      </c>
      <c r="P698" s="5">
        <f t="shared" si="231"/>
        <v>45351</v>
      </c>
      <c r="Q698" s="1">
        <v>3500</v>
      </c>
      <c r="R698" s="1">
        <v>3200</v>
      </c>
      <c r="S698" s="1">
        <f t="shared" si="232"/>
        <v>3200</v>
      </c>
      <c r="T698" s="1">
        <v>2.5</v>
      </c>
      <c r="U698" s="1" t="str">
        <f t="shared" si="233"/>
        <v>SIM</v>
      </c>
      <c r="V698" s="1">
        <f t="shared" si="234"/>
        <v>1461</v>
      </c>
      <c r="W698" s="4">
        <f t="shared" si="235"/>
        <v>2.1902806297056809</v>
      </c>
      <c r="X698" s="4">
        <f t="shared" si="236"/>
        <v>799.45242984257357</v>
      </c>
      <c r="Y698" s="4">
        <f t="shared" si="237"/>
        <v>0.99931553730321698</v>
      </c>
      <c r="AB698" s="5">
        <f t="shared" si="238"/>
        <v>45292</v>
      </c>
      <c r="AC698" s="5">
        <f t="shared" si="239"/>
        <v>45657</v>
      </c>
      <c r="AD698" s="1">
        <v>1</v>
      </c>
      <c r="AE698" s="1">
        <f t="shared" si="240"/>
        <v>0</v>
      </c>
      <c r="AF698" s="1">
        <f t="shared" si="241"/>
        <v>0</v>
      </c>
      <c r="AG698" s="1">
        <f t="shared" si="242"/>
        <v>0</v>
      </c>
      <c r="AH698" s="1">
        <f t="shared" si="243"/>
        <v>0</v>
      </c>
      <c r="AI698" s="1">
        <f t="shared" si="244"/>
        <v>183</v>
      </c>
      <c r="AJ698" s="3">
        <f t="shared" si="245"/>
        <v>0.5</v>
      </c>
      <c r="AK698" s="3">
        <f t="shared" si="246"/>
        <v>0.49965776865160849</v>
      </c>
      <c r="AL698" s="3">
        <f t="shared" si="247"/>
        <v>0.24982888432580425</v>
      </c>
      <c r="AM698" s="3">
        <f t="shared" si="248"/>
        <v>0.62457221081451064</v>
      </c>
      <c r="AN698" s="3">
        <f t="shared" si="249"/>
        <v>0</v>
      </c>
      <c r="AO698" s="3">
        <f t="shared" si="250"/>
        <v>0.62457221081451064</v>
      </c>
      <c r="AP698" s="1" t="str">
        <f>INDEX({"EAD";"EAD";"EAD";"EAD MOOC";"EAD";"EAD";"EAD FP";"EAD";"PRESENCIAL";"PRESENCIAL";"PRESENCIAL";"PRESENCIAL"}, MATCH(CONCATENATE(E698, ".", F698),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699" spans="1:42" x14ac:dyDescent="0.25">
      <c r="A699" s="1" t="s">
        <v>27</v>
      </c>
      <c r="B699" s="1" t="s">
        <v>43</v>
      </c>
      <c r="C699" s="1" t="s">
        <v>29</v>
      </c>
      <c r="D699" s="1" t="s">
        <v>45</v>
      </c>
      <c r="E699" s="1" t="s">
        <v>170</v>
      </c>
      <c r="F699" s="1" t="s">
        <v>510</v>
      </c>
      <c r="G699" s="1" t="s">
        <v>278</v>
      </c>
      <c r="H699" s="1" t="s">
        <v>320</v>
      </c>
      <c r="I699" s="1" t="s">
        <v>172</v>
      </c>
      <c r="J699" s="1" t="s">
        <v>125</v>
      </c>
      <c r="K699" s="1" t="s">
        <v>109</v>
      </c>
      <c r="L699" s="1">
        <v>2461248</v>
      </c>
      <c r="M699" s="1" t="s">
        <v>897</v>
      </c>
      <c r="N699" s="5">
        <f t="shared" si="251"/>
        <v>42796</v>
      </c>
      <c r="O699" s="5">
        <f t="shared" si="252"/>
        <v>44256</v>
      </c>
      <c r="P699" s="5">
        <f t="shared" si="231"/>
        <v>45351</v>
      </c>
      <c r="Q699" s="1">
        <v>3500</v>
      </c>
      <c r="R699" s="1">
        <v>3200</v>
      </c>
      <c r="S699" s="1">
        <f t="shared" si="232"/>
        <v>3200</v>
      </c>
      <c r="T699" s="1">
        <v>2.5</v>
      </c>
      <c r="U699" s="1" t="str">
        <f t="shared" si="233"/>
        <v>SIM</v>
      </c>
      <c r="V699" s="1">
        <f t="shared" si="234"/>
        <v>1461</v>
      </c>
      <c r="W699" s="4">
        <f t="shared" si="235"/>
        <v>2.1902806297056809</v>
      </c>
      <c r="X699" s="4">
        <f t="shared" si="236"/>
        <v>799.45242984257357</v>
      </c>
      <c r="Y699" s="4">
        <f t="shared" si="237"/>
        <v>0.99931553730321698</v>
      </c>
      <c r="AB699" s="5">
        <f t="shared" si="238"/>
        <v>45292</v>
      </c>
      <c r="AC699" s="5">
        <f t="shared" si="239"/>
        <v>45657</v>
      </c>
      <c r="AD699" s="1">
        <v>13</v>
      </c>
      <c r="AE699" s="1">
        <f t="shared" si="240"/>
        <v>0</v>
      </c>
      <c r="AF699" s="1">
        <f t="shared" si="241"/>
        <v>0</v>
      </c>
      <c r="AG699" s="1">
        <f t="shared" si="242"/>
        <v>0</v>
      </c>
      <c r="AH699" s="1">
        <f t="shared" si="243"/>
        <v>0</v>
      </c>
      <c r="AI699" s="1">
        <f t="shared" si="244"/>
        <v>183</v>
      </c>
      <c r="AJ699" s="3">
        <f t="shared" si="245"/>
        <v>0.5</v>
      </c>
      <c r="AK699" s="3">
        <f t="shared" si="246"/>
        <v>0.49965776865160849</v>
      </c>
      <c r="AL699" s="3">
        <f t="shared" si="247"/>
        <v>3.2477754962354553</v>
      </c>
      <c r="AM699" s="3">
        <f t="shared" si="248"/>
        <v>8.1194387405886381</v>
      </c>
      <c r="AN699" s="3">
        <f t="shared" si="249"/>
        <v>0</v>
      </c>
      <c r="AO699" s="3">
        <f t="shared" si="250"/>
        <v>8.1194387405886381</v>
      </c>
      <c r="AP699" s="1" t="str">
        <f>INDEX({"EAD";"EAD";"EAD";"EAD MOOC";"EAD";"EAD";"EAD FP";"EAD";"PRESENCIAL";"PRESENCIAL";"PRESENCIAL";"PRESENCIAL"}, MATCH(CONCATENATE(E699, ".", F699),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00" spans="1:42" x14ac:dyDescent="0.25">
      <c r="A700" s="1" t="s">
        <v>27</v>
      </c>
      <c r="B700" s="1" t="s">
        <v>43</v>
      </c>
      <c r="C700" s="1" t="s">
        <v>29</v>
      </c>
      <c r="D700" s="1" t="s">
        <v>45</v>
      </c>
      <c r="E700" s="1" t="s">
        <v>170</v>
      </c>
      <c r="F700" s="1" t="s">
        <v>510</v>
      </c>
      <c r="G700" s="1" t="s">
        <v>278</v>
      </c>
      <c r="H700" s="1" t="s">
        <v>320</v>
      </c>
      <c r="I700" s="1" t="s">
        <v>172</v>
      </c>
      <c r="J700" s="1" t="s">
        <v>125</v>
      </c>
      <c r="K700" s="1" t="s">
        <v>109</v>
      </c>
      <c r="L700" s="1">
        <v>2461251</v>
      </c>
      <c r="M700" s="1" t="s">
        <v>897</v>
      </c>
      <c r="N700" s="5">
        <f t="shared" si="251"/>
        <v>42796</v>
      </c>
      <c r="O700" s="5">
        <f t="shared" si="252"/>
        <v>44256</v>
      </c>
      <c r="P700" s="5">
        <f t="shared" si="231"/>
        <v>45351</v>
      </c>
      <c r="Q700" s="1">
        <v>3500</v>
      </c>
      <c r="R700" s="1">
        <v>3200</v>
      </c>
      <c r="S700" s="1">
        <f t="shared" si="232"/>
        <v>3200</v>
      </c>
      <c r="T700" s="1">
        <v>2.5</v>
      </c>
      <c r="U700" s="1" t="str">
        <f t="shared" si="233"/>
        <v>SIM</v>
      </c>
      <c r="V700" s="1">
        <f t="shared" si="234"/>
        <v>1461</v>
      </c>
      <c r="W700" s="4">
        <f t="shared" si="235"/>
        <v>2.1902806297056809</v>
      </c>
      <c r="X700" s="4">
        <f t="shared" si="236"/>
        <v>799.45242984257357</v>
      </c>
      <c r="Y700" s="4">
        <f t="shared" si="237"/>
        <v>0.99931553730321698</v>
      </c>
      <c r="AB700" s="5">
        <f t="shared" si="238"/>
        <v>45292</v>
      </c>
      <c r="AC700" s="5">
        <f t="shared" si="239"/>
        <v>45657</v>
      </c>
      <c r="AD700" s="1">
        <v>3</v>
      </c>
      <c r="AE700" s="1">
        <f t="shared" si="240"/>
        <v>0</v>
      </c>
      <c r="AF700" s="1">
        <f t="shared" si="241"/>
        <v>0</v>
      </c>
      <c r="AG700" s="1">
        <f t="shared" si="242"/>
        <v>0</v>
      </c>
      <c r="AH700" s="1">
        <f t="shared" si="243"/>
        <v>0</v>
      </c>
      <c r="AI700" s="1">
        <f t="shared" si="244"/>
        <v>183</v>
      </c>
      <c r="AJ700" s="3">
        <f t="shared" si="245"/>
        <v>0.5</v>
      </c>
      <c r="AK700" s="3">
        <f t="shared" si="246"/>
        <v>0.49965776865160849</v>
      </c>
      <c r="AL700" s="3">
        <f t="shared" si="247"/>
        <v>0.74948665297741268</v>
      </c>
      <c r="AM700" s="3">
        <f t="shared" si="248"/>
        <v>1.8737166324435317</v>
      </c>
      <c r="AN700" s="3">
        <f t="shared" si="249"/>
        <v>0</v>
      </c>
      <c r="AO700" s="3">
        <f t="shared" si="250"/>
        <v>1.8737166324435317</v>
      </c>
      <c r="AP700" s="1" t="str">
        <f>INDEX({"EAD";"EAD";"EAD";"EAD MOOC";"EAD";"EAD";"EAD FP";"EAD";"PRESENCIAL";"PRESENCIAL";"PRESENCIAL";"PRESENCIAL"}, MATCH(CONCATENATE(E700, ".", F700),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01" spans="1:42" x14ac:dyDescent="0.25">
      <c r="A701" s="1" t="s">
        <v>27</v>
      </c>
      <c r="B701" s="1" t="s">
        <v>43</v>
      </c>
      <c r="C701" s="1" t="s">
        <v>29</v>
      </c>
      <c r="D701" s="1" t="s">
        <v>45</v>
      </c>
      <c r="E701" s="1" t="s">
        <v>170</v>
      </c>
      <c r="F701" s="1" t="s">
        <v>510</v>
      </c>
      <c r="G701" s="1" t="s">
        <v>278</v>
      </c>
      <c r="H701" s="1" t="s">
        <v>279</v>
      </c>
      <c r="I701" s="1" t="s">
        <v>172</v>
      </c>
      <c r="J701" s="1" t="s">
        <v>125</v>
      </c>
      <c r="K701" s="1" t="s">
        <v>109</v>
      </c>
      <c r="L701" s="1">
        <v>2461410</v>
      </c>
      <c r="M701" s="1" t="s">
        <v>896</v>
      </c>
      <c r="N701" s="5">
        <f t="shared" si="251"/>
        <v>42796</v>
      </c>
      <c r="O701" s="5">
        <f t="shared" si="252"/>
        <v>44256</v>
      </c>
      <c r="P701" s="5">
        <f t="shared" si="231"/>
        <v>45351</v>
      </c>
      <c r="Q701" s="1">
        <v>3470</v>
      </c>
      <c r="R701" s="1">
        <v>3200</v>
      </c>
      <c r="S701" s="1">
        <f t="shared" si="232"/>
        <v>3200</v>
      </c>
      <c r="T701" s="1">
        <v>2.5</v>
      </c>
      <c r="U701" s="1" t="str">
        <f t="shared" si="233"/>
        <v>SIM</v>
      </c>
      <c r="V701" s="1">
        <f t="shared" si="234"/>
        <v>1461</v>
      </c>
      <c r="W701" s="4">
        <f t="shared" si="235"/>
        <v>2.1902806297056809</v>
      </c>
      <c r="X701" s="4">
        <f t="shared" si="236"/>
        <v>799.45242984257357</v>
      </c>
      <c r="Y701" s="4">
        <f t="shared" si="237"/>
        <v>0.99931553730321698</v>
      </c>
      <c r="AB701" s="5">
        <f t="shared" si="238"/>
        <v>45292</v>
      </c>
      <c r="AC701" s="5">
        <f t="shared" si="239"/>
        <v>45657</v>
      </c>
      <c r="AD701" s="1">
        <v>14</v>
      </c>
      <c r="AE701" s="1">
        <f t="shared" si="240"/>
        <v>0</v>
      </c>
      <c r="AF701" s="1">
        <f t="shared" si="241"/>
        <v>0</v>
      </c>
      <c r="AG701" s="1">
        <f t="shared" si="242"/>
        <v>0</v>
      </c>
      <c r="AH701" s="1">
        <f t="shared" si="243"/>
        <v>0</v>
      </c>
      <c r="AI701" s="1">
        <f t="shared" si="244"/>
        <v>183</v>
      </c>
      <c r="AJ701" s="3">
        <f t="shared" si="245"/>
        <v>0.5</v>
      </c>
      <c r="AK701" s="3">
        <f t="shared" si="246"/>
        <v>0.49965776865160849</v>
      </c>
      <c r="AL701" s="3">
        <f t="shared" si="247"/>
        <v>3.4976043805612593</v>
      </c>
      <c r="AM701" s="3">
        <f t="shared" si="248"/>
        <v>8.7440109514031477</v>
      </c>
      <c r="AN701" s="3">
        <f t="shared" si="249"/>
        <v>0</v>
      </c>
      <c r="AO701" s="3">
        <f t="shared" si="250"/>
        <v>8.7440109514031477</v>
      </c>
      <c r="AP701" s="1" t="str">
        <f>INDEX({"EAD";"EAD";"EAD";"EAD MOOC";"EAD";"EAD";"EAD FP";"EAD";"PRESENCIAL";"PRESENCIAL";"PRESENCIAL";"PRESENCIAL"}, MATCH(CONCATENATE(E701, ".", F701),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02" spans="1:42" x14ac:dyDescent="0.25">
      <c r="A702" s="1" t="s">
        <v>27</v>
      </c>
      <c r="B702" s="1" t="s">
        <v>43</v>
      </c>
      <c r="C702" s="1" t="s">
        <v>29</v>
      </c>
      <c r="D702" s="1" t="s">
        <v>45</v>
      </c>
      <c r="E702" s="1" t="s">
        <v>120</v>
      </c>
      <c r="F702" s="1" t="s">
        <v>21</v>
      </c>
      <c r="G702" s="1" t="s">
        <v>121</v>
      </c>
      <c r="H702" s="1" t="s">
        <v>869</v>
      </c>
      <c r="I702" s="1" t="s">
        <v>228</v>
      </c>
      <c r="J702" s="1" t="s">
        <v>125</v>
      </c>
      <c r="K702" s="1" t="s">
        <v>109</v>
      </c>
      <c r="L702" s="1">
        <v>2442742</v>
      </c>
      <c r="M702" s="1" t="s">
        <v>898</v>
      </c>
      <c r="N702" s="5">
        <f>DATE(2017,8,7)</f>
        <v>42954</v>
      </c>
      <c r="O702" s="5">
        <f>DATE(2022,7,18)</f>
        <v>44760</v>
      </c>
      <c r="P702" s="5">
        <f t="shared" si="231"/>
        <v>45855</v>
      </c>
      <c r="Q702" s="1">
        <v>4020</v>
      </c>
      <c r="R702" s="1">
        <v>3600</v>
      </c>
      <c r="S702" s="1">
        <f t="shared" si="232"/>
        <v>3600</v>
      </c>
      <c r="T702" s="1">
        <v>2.5</v>
      </c>
      <c r="U702" s="1" t="str">
        <f t="shared" si="233"/>
        <v>SIM</v>
      </c>
      <c r="V702" s="1">
        <f t="shared" si="234"/>
        <v>1807</v>
      </c>
      <c r="W702" s="4">
        <f t="shared" si="235"/>
        <v>1.9922523519645823</v>
      </c>
      <c r="X702" s="4">
        <f t="shared" si="236"/>
        <v>727.17210846707258</v>
      </c>
      <c r="Y702" s="4">
        <f t="shared" si="237"/>
        <v>0.90896513558384073</v>
      </c>
      <c r="AB702" s="5">
        <f t="shared" si="238"/>
        <v>45292</v>
      </c>
      <c r="AC702" s="5">
        <f t="shared" si="239"/>
        <v>45657</v>
      </c>
      <c r="AD702" s="1">
        <v>4</v>
      </c>
      <c r="AE702" s="1">
        <f t="shared" si="240"/>
        <v>0</v>
      </c>
      <c r="AF702" s="1">
        <f t="shared" si="241"/>
        <v>0</v>
      </c>
      <c r="AG702" s="1">
        <f t="shared" si="242"/>
        <v>0</v>
      </c>
      <c r="AH702" s="1">
        <f t="shared" si="243"/>
        <v>0</v>
      </c>
      <c r="AI702" s="1">
        <f t="shared" si="244"/>
        <v>183</v>
      </c>
      <c r="AJ702" s="3">
        <f t="shared" si="245"/>
        <v>0.5</v>
      </c>
      <c r="AK702" s="3">
        <f t="shared" si="246"/>
        <v>0.45448256779192037</v>
      </c>
      <c r="AL702" s="3">
        <f t="shared" si="247"/>
        <v>0.90896513558384073</v>
      </c>
      <c r="AM702" s="3">
        <f t="shared" si="248"/>
        <v>2.2724128389596019</v>
      </c>
      <c r="AN702" s="3">
        <f t="shared" si="249"/>
        <v>0</v>
      </c>
      <c r="AO702" s="3">
        <f t="shared" si="250"/>
        <v>2.2724128389596019</v>
      </c>
      <c r="AP702" s="1" t="str">
        <f>INDEX({"EAD";"EAD";"EAD";"EAD MOOC";"EAD";"EAD";"EAD FP";"EAD";"PRESENCIAL";"PRESENCIAL";"PRESENCIAL";"PRESENCIAL"}, MATCH(CONCATENATE(E702, ".", F702),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03" spans="1:42" x14ac:dyDescent="0.25">
      <c r="A703" s="1" t="s">
        <v>27</v>
      </c>
      <c r="B703" s="1" t="s">
        <v>43</v>
      </c>
      <c r="C703" s="1" t="s">
        <v>29</v>
      </c>
      <c r="D703" s="1" t="s">
        <v>45</v>
      </c>
      <c r="E703" s="1" t="s">
        <v>120</v>
      </c>
      <c r="F703" s="1" t="s">
        <v>21</v>
      </c>
      <c r="G703" s="1" t="s">
        <v>140</v>
      </c>
      <c r="H703" s="1" t="s">
        <v>865</v>
      </c>
      <c r="I703" s="1" t="s">
        <v>224</v>
      </c>
      <c r="J703" s="1" t="s">
        <v>125</v>
      </c>
      <c r="K703" s="1" t="s">
        <v>109</v>
      </c>
      <c r="L703" s="1">
        <v>2442805</v>
      </c>
      <c r="M703" s="1" t="s">
        <v>899</v>
      </c>
      <c r="N703" s="5">
        <f>DATE(2017,8,7)</f>
        <v>42954</v>
      </c>
      <c r="O703" s="5">
        <f>DATE(2020,7,30)</f>
        <v>44042</v>
      </c>
      <c r="P703" s="5">
        <f t="shared" si="231"/>
        <v>45137</v>
      </c>
      <c r="Q703" s="1">
        <v>2160</v>
      </c>
      <c r="R703" s="1">
        <v>1600</v>
      </c>
      <c r="S703" s="1">
        <f t="shared" si="232"/>
        <v>1600</v>
      </c>
      <c r="T703" s="1">
        <v>1</v>
      </c>
      <c r="U703" s="1" t="str">
        <f t="shared" si="233"/>
        <v>NÃO</v>
      </c>
      <c r="V703" s="1">
        <f t="shared" si="234"/>
        <v>1089</v>
      </c>
      <c r="W703" s="4">
        <f t="shared" si="235"/>
        <v>1.4692378328741964</v>
      </c>
      <c r="X703" s="4">
        <f t="shared" si="236"/>
        <v>536.27180899908171</v>
      </c>
      <c r="Y703" s="4">
        <f t="shared" si="237"/>
        <v>0.6703397612488522</v>
      </c>
      <c r="AB703" s="5">
        <f t="shared" si="238"/>
        <v>45292</v>
      </c>
      <c r="AC703" s="5">
        <f t="shared" si="239"/>
        <v>45657</v>
      </c>
      <c r="AE703" s="1">
        <f t="shared" si="240"/>
        <v>0</v>
      </c>
      <c r="AF703" s="1">
        <f t="shared" si="241"/>
        <v>0</v>
      </c>
      <c r="AG703" s="1">
        <f t="shared" si="242"/>
        <v>0</v>
      </c>
      <c r="AH703" s="1">
        <f t="shared" si="243"/>
        <v>0</v>
      </c>
      <c r="AI703" s="1">
        <f t="shared" si="244"/>
        <v>183</v>
      </c>
      <c r="AJ703" s="3">
        <f t="shared" si="245"/>
        <v>0.5</v>
      </c>
      <c r="AK703" s="3">
        <f t="shared" si="246"/>
        <v>0.3351698806244261</v>
      </c>
      <c r="AL703" s="3">
        <f t="shared" si="247"/>
        <v>0</v>
      </c>
      <c r="AM703" s="3">
        <f t="shared" si="248"/>
        <v>0</v>
      </c>
      <c r="AN703" s="3">
        <f t="shared" si="249"/>
        <v>0</v>
      </c>
      <c r="AO703" s="3">
        <f t="shared" si="250"/>
        <v>0</v>
      </c>
      <c r="AP703" s="1" t="str">
        <f>INDEX({"EAD";"EAD";"EAD";"EAD MOOC";"EAD";"EAD";"EAD FP";"EAD";"PRESENCIAL";"PRESENCIAL";"PRESENCIAL";"PRESENCIAL"}, MATCH(CONCATENATE(E703, ".", F703),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04" spans="1:42" x14ac:dyDescent="0.25">
      <c r="A704" s="1" t="s">
        <v>27</v>
      </c>
      <c r="B704" s="1" t="s">
        <v>43</v>
      </c>
      <c r="C704" s="1" t="s">
        <v>29</v>
      </c>
      <c r="D704" s="1" t="s">
        <v>45</v>
      </c>
      <c r="E704" s="1" t="s">
        <v>120</v>
      </c>
      <c r="F704" s="1" t="s">
        <v>21</v>
      </c>
      <c r="G704" s="1" t="s">
        <v>128</v>
      </c>
      <c r="H704" s="1" t="s">
        <v>227</v>
      </c>
      <c r="I704" s="1" t="s">
        <v>228</v>
      </c>
      <c r="J704" s="1" t="s">
        <v>125</v>
      </c>
      <c r="K704" s="1" t="s">
        <v>163</v>
      </c>
      <c r="L704" s="1">
        <v>2443381</v>
      </c>
      <c r="M704" s="1" t="s">
        <v>900</v>
      </c>
      <c r="N704" s="5">
        <f>DATE(2017,8,7)</f>
        <v>42954</v>
      </c>
      <c r="O704" s="5">
        <f>DATE(2019,7,17)</f>
        <v>43663</v>
      </c>
      <c r="P704" s="5">
        <f t="shared" si="231"/>
        <v>44758</v>
      </c>
      <c r="Q704" s="1">
        <v>1367</v>
      </c>
      <c r="R704" s="1">
        <v>1200</v>
      </c>
      <c r="S704" s="1">
        <f t="shared" si="232"/>
        <v>1200</v>
      </c>
      <c r="T704" s="1">
        <v>2.5</v>
      </c>
      <c r="U704" s="1" t="str">
        <f t="shared" si="233"/>
        <v>NÃO</v>
      </c>
      <c r="V704" s="1">
        <f t="shared" si="234"/>
        <v>710</v>
      </c>
      <c r="W704" s="4">
        <f t="shared" si="235"/>
        <v>1.6901408450704225</v>
      </c>
      <c r="X704" s="4">
        <f t="shared" si="236"/>
        <v>616.90140845070425</v>
      </c>
      <c r="Y704" s="4">
        <f t="shared" si="237"/>
        <v>0.77112676056338036</v>
      </c>
      <c r="AB704" s="5">
        <f t="shared" si="238"/>
        <v>45292</v>
      </c>
      <c r="AC704" s="5">
        <f t="shared" si="239"/>
        <v>45657</v>
      </c>
      <c r="AE704" s="1">
        <f t="shared" si="240"/>
        <v>0</v>
      </c>
      <c r="AF704" s="1">
        <f t="shared" si="241"/>
        <v>0</v>
      </c>
      <c r="AG704" s="1">
        <f t="shared" si="242"/>
        <v>0</v>
      </c>
      <c r="AH704" s="1">
        <f t="shared" si="243"/>
        <v>0</v>
      </c>
      <c r="AI704" s="1">
        <f t="shared" si="244"/>
        <v>183</v>
      </c>
      <c r="AJ704" s="3">
        <f t="shared" si="245"/>
        <v>0.5</v>
      </c>
      <c r="AK704" s="3">
        <f t="shared" si="246"/>
        <v>0.38556338028169018</v>
      </c>
      <c r="AL704" s="3">
        <f t="shared" si="247"/>
        <v>0</v>
      </c>
      <c r="AM704" s="3">
        <f t="shared" si="248"/>
        <v>0</v>
      </c>
      <c r="AN704" s="3">
        <f t="shared" si="249"/>
        <v>0</v>
      </c>
      <c r="AO704" s="3">
        <f t="shared" si="250"/>
        <v>0</v>
      </c>
      <c r="AP704" s="1" t="str">
        <f>INDEX({"EAD";"EAD";"EAD";"EAD MOOC";"EAD";"EAD";"EAD FP";"EAD";"PRESENCIAL";"PRESENCIAL";"PRESENCIAL";"PRESENCIAL"}, MATCH(CONCATENATE(E704, ".", F704),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05" spans="1:42" x14ac:dyDescent="0.25">
      <c r="A705" s="1" t="s">
        <v>27</v>
      </c>
      <c r="B705" s="1" t="s">
        <v>43</v>
      </c>
      <c r="C705" s="1" t="s">
        <v>29</v>
      </c>
      <c r="D705" s="1" t="s">
        <v>45</v>
      </c>
      <c r="E705" s="1" t="s">
        <v>120</v>
      </c>
      <c r="F705" s="1" t="s">
        <v>21</v>
      </c>
      <c r="G705" s="1" t="s">
        <v>128</v>
      </c>
      <c r="H705" s="1" t="s">
        <v>890</v>
      </c>
      <c r="I705" s="1" t="s">
        <v>191</v>
      </c>
      <c r="J705" s="1" t="s">
        <v>125</v>
      </c>
      <c r="K705" s="1" t="s">
        <v>163</v>
      </c>
      <c r="L705" s="1">
        <v>2443393</v>
      </c>
      <c r="M705" s="1" t="s">
        <v>901</v>
      </c>
      <c r="N705" s="5">
        <f>DATE(2017,8,7)</f>
        <v>42954</v>
      </c>
      <c r="O705" s="5">
        <f>DATE(2019,7,17)</f>
        <v>43663</v>
      </c>
      <c r="P705" s="5">
        <f t="shared" si="231"/>
        <v>44758</v>
      </c>
      <c r="Q705" s="1">
        <v>1343</v>
      </c>
      <c r="R705" s="1">
        <v>1200</v>
      </c>
      <c r="S705" s="1">
        <f t="shared" si="232"/>
        <v>1200</v>
      </c>
      <c r="T705" s="1">
        <v>2.5</v>
      </c>
      <c r="U705" s="1" t="str">
        <f t="shared" si="233"/>
        <v>NÃO</v>
      </c>
      <c r="V705" s="1">
        <f t="shared" si="234"/>
        <v>710</v>
      </c>
      <c r="W705" s="4">
        <f t="shared" si="235"/>
        <v>1.6901408450704225</v>
      </c>
      <c r="X705" s="4">
        <f t="shared" si="236"/>
        <v>616.90140845070425</v>
      </c>
      <c r="Y705" s="4">
        <f t="shared" si="237"/>
        <v>0.77112676056338036</v>
      </c>
      <c r="AB705" s="5">
        <f t="shared" si="238"/>
        <v>45292</v>
      </c>
      <c r="AC705" s="5">
        <f t="shared" si="239"/>
        <v>45657</v>
      </c>
      <c r="AE705" s="1">
        <f t="shared" si="240"/>
        <v>0</v>
      </c>
      <c r="AF705" s="1">
        <f t="shared" si="241"/>
        <v>0</v>
      </c>
      <c r="AG705" s="1">
        <f t="shared" si="242"/>
        <v>0</v>
      </c>
      <c r="AH705" s="1">
        <f t="shared" si="243"/>
        <v>0</v>
      </c>
      <c r="AI705" s="1">
        <f t="shared" si="244"/>
        <v>183</v>
      </c>
      <c r="AJ705" s="3">
        <f t="shared" si="245"/>
        <v>0.5</v>
      </c>
      <c r="AK705" s="3">
        <f t="shared" si="246"/>
        <v>0.38556338028169018</v>
      </c>
      <c r="AL705" s="3">
        <f t="shared" si="247"/>
        <v>0</v>
      </c>
      <c r="AM705" s="3">
        <f t="shared" si="248"/>
        <v>0</v>
      </c>
      <c r="AN705" s="3">
        <f t="shared" si="249"/>
        <v>0</v>
      </c>
      <c r="AO705" s="3">
        <f t="shared" si="250"/>
        <v>0</v>
      </c>
      <c r="AP705" s="1" t="str">
        <f>INDEX({"EAD";"EAD";"EAD";"EAD MOOC";"EAD";"EAD";"EAD FP";"EAD";"PRESENCIAL";"PRESENCIAL";"PRESENCIAL";"PRESENCIAL"}, MATCH(CONCATENATE(E705, ".", F705),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06" spans="1:42" x14ac:dyDescent="0.25">
      <c r="A706" s="1" t="s">
        <v>27</v>
      </c>
      <c r="B706" s="1" t="s">
        <v>43</v>
      </c>
      <c r="C706" s="1" t="s">
        <v>29</v>
      </c>
      <c r="D706" s="1" t="s">
        <v>45</v>
      </c>
      <c r="E706" s="1" t="s">
        <v>170</v>
      </c>
      <c r="F706" s="1" t="s">
        <v>510</v>
      </c>
      <c r="G706" s="1" t="s">
        <v>278</v>
      </c>
      <c r="H706" s="1" t="s">
        <v>320</v>
      </c>
      <c r="I706" s="1" t="s">
        <v>172</v>
      </c>
      <c r="J706" s="1" t="s">
        <v>125</v>
      </c>
      <c r="K706" s="1" t="s">
        <v>109</v>
      </c>
      <c r="L706" s="1">
        <v>2461252</v>
      </c>
      <c r="M706" s="1" t="s">
        <v>902</v>
      </c>
      <c r="N706" s="5">
        <f>DATE(2017,12,22)</f>
        <v>43091</v>
      </c>
      <c r="O706" s="5">
        <f>DATE(2021,12,21)</f>
        <v>44551</v>
      </c>
      <c r="P706" s="5">
        <f t="shared" si="231"/>
        <v>45646</v>
      </c>
      <c r="Q706" s="1">
        <v>3500</v>
      </c>
      <c r="R706" s="1">
        <v>3200</v>
      </c>
      <c r="S706" s="1">
        <f t="shared" si="232"/>
        <v>3200</v>
      </c>
      <c r="T706" s="1">
        <v>2.5</v>
      </c>
      <c r="U706" s="1" t="str">
        <f t="shared" si="233"/>
        <v>SIM</v>
      </c>
      <c r="V706" s="1">
        <f t="shared" si="234"/>
        <v>1461</v>
      </c>
      <c r="W706" s="4">
        <f t="shared" si="235"/>
        <v>2.1902806297056809</v>
      </c>
      <c r="X706" s="4">
        <f t="shared" si="236"/>
        <v>799.45242984257357</v>
      </c>
      <c r="Y706" s="4">
        <f t="shared" si="237"/>
        <v>0.99931553730321698</v>
      </c>
      <c r="AB706" s="5">
        <f t="shared" si="238"/>
        <v>45292</v>
      </c>
      <c r="AC706" s="5">
        <f t="shared" si="239"/>
        <v>45657</v>
      </c>
      <c r="AD706" s="1">
        <v>1</v>
      </c>
      <c r="AE706" s="1">
        <f t="shared" si="240"/>
        <v>0</v>
      </c>
      <c r="AF706" s="1">
        <f t="shared" si="241"/>
        <v>0</v>
      </c>
      <c r="AG706" s="1">
        <f t="shared" si="242"/>
        <v>0</v>
      </c>
      <c r="AH706" s="1">
        <f t="shared" si="243"/>
        <v>0</v>
      </c>
      <c r="AI706" s="1">
        <f t="shared" si="244"/>
        <v>183</v>
      </c>
      <c r="AJ706" s="3">
        <f t="shared" si="245"/>
        <v>0.5</v>
      </c>
      <c r="AK706" s="3">
        <f t="shared" si="246"/>
        <v>0.49965776865160849</v>
      </c>
      <c r="AL706" s="3">
        <f t="shared" si="247"/>
        <v>0.24982888432580425</v>
      </c>
      <c r="AM706" s="3">
        <f t="shared" si="248"/>
        <v>0.62457221081451064</v>
      </c>
      <c r="AN706" s="3">
        <f t="shared" si="249"/>
        <v>0</v>
      </c>
      <c r="AO706" s="3">
        <f t="shared" si="250"/>
        <v>0.62457221081451064</v>
      </c>
      <c r="AP706" s="1" t="str">
        <f>INDEX({"EAD";"EAD";"EAD";"EAD MOOC";"EAD";"EAD";"EAD FP";"EAD";"PRESENCIAL";"PRESENCIAL";"PRESENCIAL";"PRESENCIAL"}, MATCH(CONCATENATE(E706, ".", F706),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07" spans="1:42" x14ac:dyDescent="0.25">
      <c r="A707" s="1" t="s">
        <v>27</v>
      </c>
      <c r="B707" s="1" t="s">
        <v>43</v>
      </c>
      <c r="C707" s="1" t="s">
        <v>29</v>
      </c>
      <c r="D707" s="1" t="s">
        <v>45</v>
      </c>
      <c r="E707" s="1" t="s">
        <v>170</v>
      </c>
      <c r="F707" s="1" t="s">
        <v>510</v>
      </c>
      <c r="G707" s="1" t="s">
        <v>278</v>
      </c>
      <c r="H707" s="1" t="s">
        <v>320</v>
      </c>
      <c r="I707" s="1" t="s">
        <v>172</v>
      </c>
      <c r="J707" s="1" t="s">
        <v>125</v>
      </c>
      <c r="K707" s="1" t="s">
        <v>109</v>
      </c>
      <c r="L707" s="1">
        <v>2461253</v>
      </c>
      <c r="M707" s="1" t="s">
        <v>902</v>
      </c>
      <c r="N707" s="5">
        <f>DATE(2017,12,22)</f>
        <v>43091</v>
      </c>
      <c r="O707" s="5">
        <f>DATE(2021,12,21)</f>
        <v>44551</v>
      </c>
      <c r="P707" s="5">
        <f t="shared" si="231"/>
        <v>45646</v>
      </c>
      <c r="Q707" s="1">
        <v>3500</v>
      </c>
      <c r="R707" s="1">
        <v>3200</v>
      </c>
      <c r="S707" s="1">
        <f t="shared" si="232"/>
        <v>3200</v>
      </c>
      <c r="T707" s="1">
        <v>2.5</v>
      </c>
      <c r="U707" s="1" t="str">
        <f t="shared" si="233"/>
        <v>SIM</v>
      </c>
      <c r="V707" s="1">
        <f t="shared" si="234"/>
        <v>1461</v>
      </c>
      <c r="W707" s="4">
        <f t="shared" si="235"/>
        <v>2.1902806297056809</v>
      </c>
      <c r="X707" s="4">
        <f t="shared" si="236"/>
        <v>799.45242984257357</v>
      </c>
      <c r="Y707" s="4">
        <f t="shared" si="237"/>
        <v>0.99931553730321698</v>
      </c>
      <c r="AB707" s="5">
        <f t="shared" si="238"/>
        <v>45292</v>
      </c>
      <c r="AC707" s="5">
        <f t="shared" si="239"/>
        <v>45657</v>
      </c>
      <c r="AD707" s="1">
        <v>4</v>
      </c>
      <c r="AE707" s="1">
        <f t="shared" si="240"/>
        <v>0</v>
      </c>
      <c r="AF707" s="1">
        <f t="shared" si="241"/>
        <v>0</v>
      </c>
      <c r="AG707" s="1">
        <f t="shared" si="242"/>
        <v>0</v>
      </c>
      <c r="AH707" s="1">
        <f t="shared" si="243"/>
        <v>0</v>
      </c>
      <c r="AI707" s="1">
        <f t="shared" si="244"/>
        <v>183</v>
      </c>
      <c r="AJ707" s="3">
        <f t="shared" si="245"/>
        <v>0.5</v>
      </c>
      <c r="AK707" s="3">
        <f t="shared" si="246"/>
        <v>0.49965776865160849</v>
      </c>
      <c r="AL707" s="3">
        <f t="shared" si="247"/>
        <v>0.99931553730321698</v>
      </c>
      <c r="AM707" s="3">
        <f t="shared" si="248"/>
        <v>2.4982888432580426</v>
      </c>
      <c r="AN707" s="3">
        <f t="shared" si="249"/>
        <v>0</v>
      </c>
      <c r="AO707" s="3">
        <f t="shared" si="250"/>
        <v>2.4982888432580426</v>
      </c>
      <c r="AP707" s="1" t="str">
        <f>INDEX({"EAD";"EAD";"EAD";"EAD MOOC";"EAD";"EAD";"EAD FP";"EAD";"PRESENCIAL";"PRESENCIAL";"PRESENCIAL";"PRESENCIAL"}, MATCH(CONCATENATE(E707, ".", F707),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08" spans="1:42" x14ac:dyDescent="0.25">
      <c r="A708" s="1" t="s">
        <v>27</v>
      </c>
      <c r="B708" s="1" t="s">
        <v>43</v>
      </c>
      <c r="C708" s="1" t="s">
        <v>29</v>
      </c>
      <c r="D708" s="1" t="s">
        <v>45</v>
      </c>
      <c r="E708" s="1" t="s">
        <v>170</v>
      </c>
      <c r="F708" s="1" t="s">
        <v>510</v>
      </c>
      <c r="G708" s="1" t="s">
        <v>278</v>
      </c>
      <c r="H708" s="1" t="s">
        <v>279</v>
      </c>
      <c r="I708" s="1" t="s">
        <v>172</v>
      </c>
      <c r="J708" s="1" t="s">
        <v>125</v>
      </c>
      <c r="K708" s="1" t="s">
        <v>109</v>
      </c>
      <c r="L708" s="1">
        <v>2461254</v>
      </c>
      <c r="M708" s="1" t="s">
        <v>903</v>
      </c>
      <c r="N708" s="5">
        <f>DATE(2017,12,22)</f>
        <v>43091</v>
      </c>
      <c r="O708" s="5">
        <f>DATE(2021,12,21)</f>
        <v>44551</v>
      </c>
      <c r="P708" s="5">
        <f t="shared" ref="P708:P771" si="253">IF(G708="QUALIFICACAO PROFISSIONAL (FIC)",O708,O708+1095)</f>
        <v>45646</v>
      </c>
      <c r="Q708" s="1">
        <v>3470</v>
      </c>
      <c r="R708" s="1">
        <v>3200</v>
      </c>
      <c r="S708" s="1">
        <f t="shared" ref="S708:S771" si="254">IF(OR(G708="QUALIFICACAO PROFISSIONAL (FIC)",G708="DOUTORADO"),Q708,    IF(ISNUMBER(FIND("PROEJA",K708)),2400,        IF(K708="INTEGRADO",            IF(R708=800,3000,                IF(R708=1000,3100,                    IF(R708=1200,3200,R708)                )            ),            R708        )    ))</f>
        <v>3200</v>
      </c>
      <c r="T708" s="1">
        <v>2.5</v>
      </c>
      <c r="U708" s="1" t="str">
        <f t="shared" ref="U708:U771" si="255">IF(P708&lt;AB708,"NÃO","SIM")</f>
        <v>SIM</v>
      </c>
      <c r="V708" s="1">
        <f t="shared" ref="V708:V771" si="256">O708-N708+1</f>
        <v>1461</v>
      </c>
      <c r="W708" s="4">
        <f t="shared" ref="W708:W771" si="257">IF(S708&gt;Q708,Q708,S708)/V708</f>
        <v>2.1902806297056809</v>
      </c>
      <c r="X708" s="4">
        <f t="shared" ref="X708:X771" si="258">IF(V708&gt;365,W708*365,S708)</f>
        <v>799.45242984257357</v>
      </c>
      <c r="Y708" s="4">
        <f t="shared" ref="Y708:Y771" si="259">IF(V708&gt;365,X708/800,S708/800)</f>
        <v>0.99931553730321698</v>
      </c>
      <c r="AB708" s="5">
        <f t="shared" ref="AB708:AB771" si="260">DATE(2024,1,1)</f>
        <v>45292</v>
      </c>
      <c r="AC708" s="5">
        <f t="shared" ref="AC708:AC771" si="261">DATE(2024,12,31)</f>
        <v>45657</v>
      </c>
      <c r="AD708" s="1">
        <v>11</v>
      </c>
      <c r="AE708" s="1">
        <f t="shared" ref="AE708:AE771" si="262">IF(AND(N708&lt;AB708,O708&gt;AC708),AC708-AB708+1,0)</f>
        <v>0</v>
      </c>
      <c r="AF708" s="1">
        <f t="shared" ref="AF708:AF771" si="263">IF(AND(N708&gt;=AB708,O708&gt;AC708,N708&lt;AC708),AC708-N708+1,0)</f>
        <v>0</v>
      </c>
      <c r="AG708" s="1">
        <f t="shared" ref="AG708:AG771" si="264">IF(AND(N708&lt;AB708,O708&lt;=AC708,O708&gt;=AB708),O708-AB708+1,0)</f>
        <v>0</v>
      </c>
      <c r="AH708" s="1">
        <f t="shared" ref="AH708:AH771" si="265">IF(AND(N708&gt;=AB708,O708&lt;=AC708),O708-N708+1,0)</f>
        <v>0</v>
      </c>
      <c r="AI708" s="1">
        <f t="shared" ref="AI708:AI771" si="266">IF(AND(N708&lt;AB708,O708&lt;AB708),(AC708-AB708+1)/2,0)</f>
        <v>183</v>
      </c>
      <c r="AJ708" s="3">
        <f t="shared" ref="AJ708:AJ771" si="267">SUM(AE708:AI708)/IF(V708&gt;=365,AC708-AB708+1,V708)</f>
        <v>0.5</v>
      </c>
      <c r="AK708" s="3">
        <f t="shared" ref="AK708:AK771" si="268">Y708*AJ708</f>
        <v>0.49965776865160849</v>
      </c>
      <c r="AL708" s="3">
        <f t="shared" ref="AL708:AL771" si="269">IF(AI708=0,AK708*AD708,IF(U708="SIM",AK708*(AD708/2),0))</f>
        <v>2.7481177275838466</v>
      </c>
      <c r="AM708" s="3">
        <f t="shared" ref="AM708:AM771" si="270">AL708*T708</f>
        <v>6.8702943189596164</v>
      </c>
      <c r="AN708" s="3">
        <f t="shared" ref="AN708:AN771" si="271">IF(J708="SIM",AM708*50%,0)</f>
        <v>0</v>
      </c>
      <c r="AO708" s="3">
        <f t="shared" ref="AO708:AO771" si="272">IF(U708="SIM",AM708+AN708,0)</f>
        <v>6.8702943189596164</v>
      </c>
      <c r="AP708" s="1" t="str">
        <f>INDEX({"EAD";"EAD";"EAD";"EAD MOOC";"EAD";"EAD";"EAD FP";"EAD";"PRESENCIAL";"PRESENCIAL";"PRESENCIAL";"PRESENCIAL"}, MATCH(CONCATENATE(E708, ".", F708),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09" spans="1:42" x14ac:dyDescent="0.25">
      <c r="A709" s="1" t="s">
        <v>27</v>
      </c>
      <c r="B709" s="1" t="s">
        <v>43</v>
      </c>
      <c r="C709" s="1" t="s">
        <v>29</v>
      </c>
      <c r="D709" s="1" t="s">
        <v>45</v>
      </c>
      <c r="E709" s="1" t="s">
        <v>120</v>
      </c>
      <c r="F709" s="1" t="s">
        <v>21</v>
      </c>
      <c r="G709" s="1" t="s">
        <v>128</v>
      </c>
      <c r="H709" s="1" t="s">
        <v>227</v>
      </c>
      <c r="I709" s="1" t="s">
        <v>228</v>
      </c>
      <c r="J709" s="1" t="s">
        <v>125</v>
      </c>
      <c r="K709" s="1" t="s">
        <v>163</v>
      </c>
      <c r="L709" s="1">
        <v>2479400</v>
      </c>
      <c r="M709" s="1" t="s">
        <v>904</v>
      </c>
      <c r="N709" s="5">
        <f>DATE(2018,2,5)</f>
        <v>43136</v>
      </c>
      <c r="O709" s="5">
        <f>DATE(2020,2,4)</f>
        <v>43865</v>
      </c>
      <c r="P709" s="5">
        <f t="shared" si="253"/>
        <v>44960</v>
      </c>
      <c r="Q709" s="1">
        <v>1343</v>
      </c>
      <c r="R709" s="1">
        <v>1200</v>
      </c>
      <c r="S709" s="1">
        <f t="shared" si="254"/>
        <v>1200</v>
      </c>
      <c r="T709" s="1">
        <v>2.5</v>
      </c>
      <c r="U709" s="1" t="str">
        <f t="shared" si="255"/>
        <v>NÃO</v>
      </c>
      <c r="V709" s="1">
        <f t="shared" si="256"/>
        <v>730</v>
      </c>
      <c r="W709" s="4">
        <f t="shared" si="257"/>
        <v>1.6438356164383561</v>
      </c>
      <c r="X709" s="4">
        <f t="shared" si="258"/>
        <v>600</v>
      </c>
      <c r="Y709" s="4">
        <f t="shared" si="259"/>
        <v>0.75</v>
      </c>
      <c r="AB709" s="5">
        <f t="shared" si="260"/>
        <v>45292</v>
      </c>
      <c r="AC709" s="5">
        <f t="shared" si="261"/>
        <v>45657</v>
      </c>
      <c r="AE709" s="1">
        <f t="shared" si="262"/>
        <v>0</v>
      </c>
      <c r="AF709" s="1">
        <f t="shared" si="263"/>
        <v>0</v>
      </c>
      <c r="AG709" s="1">
        <f t="shared" si="264"/>
        <v>0</v>
      </c>
      <c r="AH709" s="1">
        <f t="shared" si="265"/>
        <v>0</v>
      </c>
      <c r="AI709" s="1">
        <f t="shared" si="266"/>
        <v>183</v>
      </c>
      <c r="AJ709" s="3">
        <f t="shared" si="267"/>
        <v>0.5</v>
      </c>
      <c r="AK709" s="3">
        <f t="shared" si="268"/>
        <v>0.375</v>
      </c>
      <c r="AL709" s="3">
        <f t="shared" si="269"/>
        <v>0</v>
      </c>
      <c r="AM709" s="3">
        <f t="shared" si="270"/>
        <v>0</v>
      </c>
      <c r="AN709" s="3">
        <f t="shared" si="271"/>
        <v>0</v>
      </c>
      <c r="AO709" s="3">
        <f t="shared" si="272"/>
        <v>0</v>
      </c>
      <c r="AP709" s="1" t="str">
        <f>INDEX({"EAD";"EAD";"EAD";"EAD MOOC";"EAD";"EAD";"EAD FP";"EAD";"PRESENCIAL";"PRESENCIAL";"PRESENCIAL";"PRESENCIAL"}, MATCH(CONCATENATE(E709, ".", F709),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10" spans="1:42" x14ac:dyDescent="0.25">
      <c r="A710" s="1" t="s">
        <v>27</v>
      </c>
      <c r="B710" s="1" t="s">
        <v>43</v>
      </c>
      <c r="C710" s="1" t="s">
        <v>29</v>
      </c>
      <c r="D710" s="1" t="s">
        <v>45</v>
      </c>
      <c r="E710" s="1" t="s">
        <v>120</v>
      </c>
      <c r="F710" s="1" t="s">
        <v>21</v>
      </c>
      <c r="G710" s="1" t="s">
        <v>140</v>
      </c>
      <c r="H710" s="1" t="s">
        <v>865</v>
      </c>
      <c r="I710" s="1" t="s">
        <v>224</v>
      </c>
      <c r="J710" s="1" t="s">
        <v>125</v>
      </c>
      <c r="K710" s="1" t="s">
        <v>109</v>
      </c>
      <c r="L710" s="1">
        <v>2480252</v>
      </c>
      <c r="M710" s="1" t="s">
        <v>905</v>
      </c>
      <c r="N710" s="5">
        <f>DATE(2018,2,5)</f>
        <v>43136</v>
      </c>
      <c r="O710" s="5">
        <f>DATE(2021,2,4)</f>
        <v>44231</v>
      </c>
      <c r="P710" s="5">
        <f t="shared" si="253"/>
        <v>45326</v>
      </c>
      <c r="Q710" s="1">
        <v>2160</v>
      </c>
      <c r="R710" s="1">
        <v>1600</v>
      </c>
      <c r="S710" s="1">
        <f t="shared" si="254"/>
        <v>1600</v>
      </c>
      <c r="T710" s="1">
        <v>1</v>
      </c>
      <c r="U710" s="1" t="str">
        <f t="shared" si="255"/>
        <v>SIM</v>
      </c>
      <c r="V710" s="1">
        <f t="shared" si="256"/>
        <v>1096</v>
      </c>
      <c r="W710" s="4">
        <f t="shared" si="257"/>
        <v>1.4598540145985401</v>
      </c>
      <c r="X710" s="4">
        <f t="shared" si="258"/>
        <v>532.8467153284671</v>
      </c>
      <c r="Y710" s="4">
        <f t="shared" si="259"/>
        <v>0.66605839416058388</v>
      </c>
      <c r="AB710" s="5">
        <f t="shared" si="260"/>
        <v>45292</v>
      </c>
      <c r="AC710" s="5">
        <f t="shared" si="261"/>
        <v>45657</v>
      </c>
      <c r="AD710" s="1">
        <v>2</v>
      </c>
      <c r="AE710" s="1">
        <f t="shared" si="262"/>
        <v>0</v>
      </c>
      <c r="AF710" s="1">
        <f t="shared" si="263"/>
        <v>0</v>
      </c>
      <c r="AG710" s="1">
        <f t="shared" si="264"/>
        <v>0</v>
      </c>
      <c r="AH710" s="1">
        <f t="shared" si="265"/>
        <v>0</v>
      </c>
      <c r="AI710" s="1">
        <f t="shared" si="266"/>
        <v>183</v>
      </c>
      <c r="AJ710" s="3">
        <f t="shared" si="267"/>
        <v>0.5</v>
      </c>
      <c r="AK710" s="3">
        <f t="shared" si="268"/>
        <v>0.33302919708029194</v>
      </c>
      <c r="AL710" s="3">
        <f t="shared" si="269"/>
        <v>0.33302919708029194</v>
      </c>
      <c r="AM710" s="3">
        <f t="shared" si="270"/>
        <v>0.33302919708029194</v>
      </c>
      <c r="AN710" s="3">
        <f t="shared" si="271"/>
        <v>0</v>
      </c>
      <c r="AO710" s="3">
        <f t="shared" si="272"/>
        <v>0.33302919708029194</v>
      </c>
      <c r="AP710" s="1" t="str">
        <f>INDEX({"EAD";"EAD";"EAD";"EAD MOOC";"EAD";"EAD";"EAD FP";"EAD";"PRESENCIAL";"PRESENCIAL";"PRESENCIAL";"PRESENCIAL"}, MATCH(CONCATENATE(E710, ".", F710),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11" spans="1:42" x14ac:dyDescent="0.25">
      <c r="A711" s="1" t="s">
        <v>27</v>
      </c>
      <c r="B711" s="1" t="s">
        <v>43</v>
      </c>
      <c r="C711" s="1" t="s">
        <v>29</v>
      </c>
      <c r="D711" s="1" t="s">
        <v>45</v>
      </c>
      <c r="E711" s="1" t="s">
        <v>120</v>
      </c>
      <c r="F711" s="1" t="s">
        <v>21</v>
      </c>
      <c r="G711" s="1" t="s">
        <v>121</v>
      </c>
      <c r="H711" s="1" t="s">
        <v>869</v>
      </c>
      <c r="I711" s="1" t="s">
        <v>228</v>
      </c>
      <c r="J711" s="1" t="s">
        <v>125</v>
      </c>
      <c r="K711" s="1" t="s">
        <v>109</v>
      </c>
      <c r="L711" s="1">
        <v>2480253</v>
      </c>
      <c r="M711" s="1" t="s">
        <v>906</v>
      </c>
      <c r="N711" s="5">
        <f>DATE(2018,2,5)</f>
        <v>43136</v>
      </c>
      <c r="O711" s="5">
        <f>DATE(2023,2,4)</f>
        <v>44961</v>
      </c>
      <c r="P711" s="5">
        <f t="shared" si="253"/>
        <v>46056</v>
      </c>
      <c r="Q711" s="1">
        <v>4020</v>
      </c>
      <c r="R711" s="1">
        <v>3600</v>
      </c>
      <c r="S711" s="1">
        <f t="shared" si="254"/>
        <v>3600</v>
      </c>
      <c r="T711" s="1">
        <v>2.5</v>
      </c>
      <c r="U711" s="1" t="str">
        <f t="shared" si="255"/>
        <v>SIM</v>
      </c>
      <c r="V711" s="1">
        <f t="shared" si="256"/>
        <v>1826</v>
      </c>
      <c r="W711" s="4">
        <f t="shared" si="257"/>
        <v>1.9715224534501643</v>
      </c>
      <c r="X711" s="4">
        <f t="shared" si="258"/>
        <v>719.60569550930995</v>
      </c>
      <c r="Y711" s="4">
        <f t="shared" si="259"/>
        <v>0.89950711938663741</v>
      </c>
      <c r="AB711" s="5">
        <f t="shared" si="260"/>
        <v>45292</v>
      </c>
      <c r="AC711" s="5">
        <f t="shared" si="261"/>
        <v>45657</v>
      </c>
      <c r="AD711" s="1">
        <v>9</v>
      </c>
      <c r="AE711" s="1">
        <f t="shared" si="262"/>
        <v>0</v>
      </c>
      <c r="AF711" s="1">
        <f t="shared" si="263"/>
        <v>0</v>
      </c>
      <c r="AG711" s="1">
        <f t="shared" si="264"/>
        <v>0</v>
      </c>
      <c r="AH711" s="1">
        <f t="shared" si="265"/>
        <v>0</v>
      </c>
      <c r="AI711" s="1">
        <f t="shared" si="266"/>
        <v>183</v>
      </c>
      <c r="AJ711" s="3">
        <f t="shared" si="267"/>
        <v>0.5</v>
      </c>
      <c r="AK711" s="3">
        <f t="shared" si="268"/>
        <v>0.44975355969331871</v>
      </c>
      <c r="AL711" s="3">
        <f t="shared" si="269"/>
        <v>2.0238910186199344</v>
      </c>
      <c r="AM711" s="3">
        <f t="shared" si="270"/>
        <v>5.0597275465498361</v>
      </c>
      <c r="AN711" s="3">
        <f t="shared" si="271"/>
        <v>0</v>
      </c>
      <c r="AO711" s="3">
        <f t="shared" si="272"/>
        <v>5.0597275465498361</v>
      </c>
      <c r="AP711" s="1" t="str">
        <f>INDEX({"EAD";"EAD";"EAD";"EAD MOOC";"EAD";"EAD";"EAD FP";"EAD";"PRESENCIAL";"PRESENCIAL";"PRESENCIAL";"PRESENCIAL"}, MATCH(CONCATENATE(E711, ".", F711),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12" spans="1:42" x14ac:dyDescent="0.25">
      <c r="A712" s="1" t="s">
        <v>27</v>
      </c>
      <c r="B712" s="1" t="s">
        <v>43</v>
      </c>
      <c r="C712" s="1" t="s">
        <v>29</v>
      </c>
      <c r="D712" s="1" t="s">
        <v>45</v>
      </c>
      <c r="E712" s="1" t="s">
        <v>120</v>
      </c>
      <c r="F712" s="1" t="s">
        <v>21</v>
      </c>
      <c r="G712" s="1" t="s">
        <v>128</v>
      </c>
      <c r="H712" s="1" t="s">
        <v>907</v>
      </c>
      <c r="I712" s="1" t="s">
        <v>224</v>
      </c>
      <c r="J712" s="1" t="s">
        <v>125</v>
      </c>
      <c r="K712" s="1" t="s">
        <v>130</v>
      </c>
      <c r="L712" s="1">
        <v>2487661</v>
      </c>
      <c r="M712" s="1" t="s">
        <v>908</v>
      </c>
      <c r="N712" s="5">
        <f>DATE(2018,2,5)</f>
        <v>43136</v>
      </c>
      <c r="O712" s="5">
        <f>DATE(2020,12,20)</f>
        <v>44185</v>
      </c>
      <c r="P712" s="5">
        <f t="shared" si="253"/>
        <v>45280</v>
      </c>
      <c r="Q712" s="1">
        <v>3912</v>
      </c>
      <c r="R712" s="1">
        <v>1200</v>
      </c>
      <c r="S712" s="1">
        <f t="shared" si="254"/>
        <v>3200</v>
      </c>
      <c r="T712" s="1">
        <v>1.5</v>
      </c>
      <c r="U712" s="1" t="str">
        <f t="shared" si="255"/>
        <v>NÃO</v>
      </c>
      <c r="V712" s="1">
        <f t="shared" si="256"/>
        <v>1050</v>
      </c>
      <c r="W712" s="4">
        <f t="shared" si="257"/>
        <v>3.0476190476190474</v>
      </c>
      <c r="X712" s="4">
        <f t="shared" si="258"/>
        <v>1112.3809523809523</v>
      </c>
      <c r="Y712" s="4">
        <f t="shared" si="259"/>
        <v>1.3904761904761904</v>
      </c>
      <c r="AB712" s="5">
        <f t="shared" si="260"/>
        <v>45292</v>
      </c>
      <c r="AC712" s="5">
        <f t="shared" si="261"/>
        <v>45657</v>
      </c>
      <c r="AD712" s="1">
        <v>1</v>
      </c>
      <c r="AE712" s="1">
        <f t="shared" si="262"/>
        <v>0</v>
      </c>
      <c r="AF712" s="1">
        <f t="shared" si="263"/>
        <v>0</v>
      </c>
      <c r="AG712" s="1">
        <f t="shared" si="264"/>
        <v>0</v>
      </c>
      <c r="AH712" s="1">
        <f t="shared" si="265"/>
        <v>0</v>
      </c>
      <c r="AI712" s="1">
        <f t="shared" si="266"/>
        <v>183</v>
      </c>
      <c r="AJ712" s="3">
        <f t="shared" si="267"/>
        <v>0.5</v>
      </c>
      <c r="AK712" s="3">
        <f t="shared" si="268"/>
        <v>0.69523809523809521</v>
      </c>
      <c r="AL712" s="3">
        <f t="shared" si="269"/>
        <v>0</v>
      </c>
      <c r="AM712" s="3">
        <f t="shared" si="270"/>
        <v>0</v>
      </c>
      <c r="AN712" s="3">
        <f t="shared" si="271"/>
        <v>0</v>
      </c>
      <c r="AO712" s="3">
        <f t="shared" si="272"/>
        <v>0</v>
      </c>
      <c r="AP712" s="1" t="str">
        <f>INDEX({"EAD";"EAD";"EAD";"EAD MOOC";"EAD";"EAD";"EAD FP";"EAD";"PRESENCIAL";"PRESENCIAL";"PRESENCIAL";"PRESENCIAL"}, MATCH(CONCATENATE(E712, ".", F712),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13" spans="1:42" x14ac:dyDescent="0.25">
      <c r="A713" s="1" t="s">
        <v>27</v>
      </c>
      <c r="B713" s="1" t="s">
        <v>43</v>
      </c>
      <c r="C713" s="1" t="s">
        <v>29</v>
      </c>
      <c r="D713" s="1" t="s">
        <v>45</v>
      </c>
      <c r="E713" s="1" t="s">
        <v>120</v>
      </c>
      <c r="F713" s="1" t="s">
        <v>21</v>
      </c>
      <c r="G713" s="1" t="s">
        <v>128</v>
      </c>
      <c r="H713" s="1" t="s">
        <v>907</v>
      </c>
      <c r="I713" s="1" t="s">
        <v>224</v>
      </c>
      <c r="J713" s="1" t="s">
        <v>125</v>
      </c>
      <c r="K713" s="1" t="s">
        <v>130</v>
      </c>
      <c r="L713" s="1">
        <v>2524193</v>
      </c>
      <c r="M713" s="1" t="s">
        <v>909</v>
      </c>
      <c r="N713" s="5">
        <f>DATE(2018,7,25)</f>
        <v>43306</v>
      </c>
      <c r="O713" s="5">
        <f>DATE(2021,7,24)</f>
        <v>44401</v>
      </c>
      <c r="P713" s="5">
        <f t="shared" si="253"/>
        <v>45496</v>
      </c>
      <c r="Q713" s="1">
        <v>3689</v>
      </c>
      <c r="R713" s="1">
        <v>1200</v>
      </c>
      <c r="S713" s="1">
        <f t="shared" si="254"/>
        <v>3200</v>
      </c>
      <c r="T713" s="1">
        <v>1.5</v>
      </c>
      <c r="U713" s="1" t="str">
        <f t="shared" si="255"/>
        <v>SIM</v>
      </c>
      <c r="V713" s="1">
        <f t="shared" si="256"/>
        <v>1096</v>
      </c>
      <c r="W713" s="4">
        <f t="shared" si="257"/>
        <v>2.9197080291970803</v>
      </c>
      <c r="X713" s="4">
        <f t="shared" si="258"/>
        <v>1065.6934306569342</v>
      </c>
      <c r="Y713" s="4">
        <f t="shared" si="259"/>
        <v>1.3321167883211678</v>
      </c>
      <c r="AB713" s="5">
        <f t="shared" si="260"/>
        <v>45292</v>
      </c>
      <c r="AC713" s="5">
        <f t="shared" si="261"/>
        <v>45657</v>
      </c>
      <c r="AD713" s="1">
        <v>1</v>
      </c>
      <c r="AE713" s="1">
        <f t="shared" si="262"/>
        <v>0</v>
      </c>
      <c r="AF713" s="1">
        <f t="shared" si="263"/>
        <v>0</v>
      </c>
      <c r="AG713" s="1">
        <f t="shared" si="264"/>
        <v>0</v>
      </c>
      <c r="AH713" s="1">
        <f t="shared" si="265"/>
        <v>0</v>
      </c>
      <c r="AI713" s="1">
        <f t="shared" si="266"/>
        <v>183</v>
      </c>
      <c r="AJ713" s="3">
        <f t="shared" si="267"/>
        <v>0.5</v>
      </c>
      <c r="AK713" s="3">
        <f t="shared" si="268"/>
        <v>0.66605839416058388</v>
      </c>
      <c r="AL713" s="3">
        <f t="shared" si="269"/>
        <v>0.33302919708029194</v>
      </c>
      <c r="AM713" s="3">
        <f t="shared" si="270"/>
        <v>0.49954379562043794</v>
      </c>
      <c r="AN713" s="3">
        <f t="shared" si="271"/>
        <v>0</v>
      </c>
      <c r="AO713" s="3">
        <f t="shared" si="272"/>
        <v>0.49954379562043794</v>
      </c>
      <c r="AP713" s="1" t="str">
        <f>INDEX({"EAD";"EAD";"EAD";"EAD MOOC";"EAD";"EAD";"EAD FP";"EAD";"PRESENCIAL";"PRESENCIAL";"PRESENCIAL";"PRESENCIAL"}, MATCH(CONCATENATE(E713, ".", F713),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14" spans="1:42" x14ac:dyDescent="0.25">
      <c r="A714" s="1" t="s">
        <v>27</v>
      </c>
      <c r="B714" s="1" t="s">
        <v>43</v>
      </c>
      <c r="C714" s="1" t="s">
        <v>29</v>
      </c>
      <c r="D714" s="1" t="s">
        <v>45</v>
      </c>
      <c r="E714" s="1" t="s">
        <v>120</v>
      </c>
      <c r="F714" s="1" t="s">
        <v>21</v>
      </c>
      <c r="G714" s="1" t="s">
        <v>128</v>
      </c>
      <c r="H714" s="1" t="s">
        <v>227</v>
      </c>
      <c r="I714" s="1" t="s">
        <v>228</v>
      </c>
      <c r="J714" s="1" t="s">
        <v>125</v>
      </c>
      <c r="K714" s="1" t="s">
        <v>163</v>
      </c>
      <c r="L714" s="1">
        <v>2524241</v>
      </c>
      <c r="M714" s="1" t="s">
        <v>910</v>
      </c>
      <c r="N714" s="5">
        <f>DATE(2018,7,25)</f>
        <v>43306</v>
      </c>
      <c r="O714" s="5">
        <f>DATE(2020,7,24)</f>
        <v>44036</v>
      </c>
      <c r="P714" s="5">
        <f t="shared" si="253"/>
        <v>45131</v>
      </c>
      <c r="Q714" s="1">
        <v>1411</v>
      </c>
      <c r="R714" s="1">
        <v>1200</v>
      </c>
      <c r="S714" s="1">
        <f t="shared" si="254"/>
        <v>1200</v>
      </c>
      <c r="T714" s="1">
        <v>2.5</v>
      </c>
      <c r="U714" s="1" t="str">
        <f t="shared" si="255"/>
        <v>NÃO</v>
      </c>
      <c r="V714" s="1">
        <f t="shared" si="256"/>
        <v>731</v>
      </c>
      <c r="W714" s="4">
        <f t="shared" si="257"/>
        <v>1.6415868673050615</v>
      </c>
      <c r="X714" s="4">
        <f t="shared" si="258"/>
        <v>599.17920656634749</v>
      </c>
      <c r="Y714" s="4">
        <f t="shared" si="259"/>
        <v>0.74897400820793436</v>
      </c>
      <c r="AB714" s="5">
        <f t="shared" si="260"/>
        <v>45292</v>
      </c>
      <c r="AC714" s="5">
        <f t="shared" si="261"/>
        <v>45657</v>
      </c>
      <c r="AD714" s="1">
        <v>1</v>
      </c>
      <c r="AE714" s="1">
        <f t="shared" si="262"/>
        <v>0</v>
      </c>
      <c r="AF714" s="1">
        <f t="shared" si="263"/>
        <v>0</v>
      </c>
      <c r="AG714" s="1">
        <f t="shared" si="264"/>
        <v>0</v>
      </c>
      <c r="AH714" s="1">
        <f t="shared" si="265"/>
        <v>0</v>
      </c>
      <c r="AI714" s="1">
        <f t="shared" si="266"/>
        <v>183</v>
      </c>
      <c r="AJ714" s="3">
        <f t="shared" si="267"/>
        <v>0.5</v>
      </c>
      <c r="AK714" s="3">
        <f t="shared" si="268"/>
        <v>0.37448700410396718</v>
      </c>
      <c r="AL714" s="3">
        <f t="shared" si="269"/>
        <v>0</v>
      </c>
      <c r="AM714" s="3">
        <f t="shared" si="270"/>
        <v>0</v>
      </c>
      <c r="AN714" s="3">
        <f t="shared" si="271"/>
        <v>0</v>
      </c>
      <c r="AO714" s="3">
        <f t="shared" si="272"/>
        <v>0</v>
      </c>
      <c r="AP714" s="1" t="str">
        <f>INDEX({"EAD";"EAD";"EAD";"EAD MOOC";"EAD";"EAD";"EAD FP";"EAD";"PRESENCIAL";"PRESENCIAL";"PRESENCIAL";"PRESENCIAL"}, MATCH(CONCATENATE(E714, ".", F714),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15" spans="1:42" x14ac:dyDescent="0.25">
      <c r="A715" s="1" t="s">
        <v>27</v>
      </c>
      <c r="B715" s="1" t="s">
        <v>43</v>
      </c>
      <c r="C715" s="1" t="s">
        <v>29</v>
      </c>
      <c r="D715" s="1" t="s">
        <v>45</v>
      </c>
      <c r="E715" s="1" t="s">
        <v>120</v>
      </c>
      <c r="F715" s="1" t="s">
        <v>21</v>
      </c>
      <c r="G715" s="1" t="s">
        <v>140</v>
      </c>
      <c r="H715" s="1" t="s">
        <v>865</v>
      </c>
      <c r="I715" s="1" t="s">
        <v>224</v>
      </c>
      <c r="J715" s="1" t="s">
        <v>125</v>
      </c>
      <c r="K715" s="1" t="s">
        <v>109</v>
      </c>
      <c r="L715" s="1">
        <v>2524249</v>
      </c>
      <c r="M715" s="1" t="s">
        <v>911</v>
      </c>
      <c r="N715" s="5">
        <f>DATE(2018,7,25)</f>
        <v>43306</v>
      </c>
      <c r="O715" s="5">
        <f>DATE(2021,7,24)</f>
        <v>44401</v>
      </c>
      <c r="P715" s="5">
        <f t="shared" si="253"/>
        <v>45496</v>
      </c>
      <c r="Q715" s="1">
        <v>2160</v>
      </c>
      <c r="R715" s="1">
        <v>1600</v>
      </c>
      <c r="S715" s="1">
        <f t="shared" si="254"/>
        <v>1600</v>
      </c>
      <c r="T715" s="1">
        <v>1</v>
      </c>
      <c r="U715" s="1" t="str">
        <f t="shared" si="255"/>
        <v>SIM</v>
      </c>
      <c r="V715" s="1">
        <f t="shared" si="256"/>
        <v>1096</v>
      </c>
      <c r="W715" s="4">
        <f t="shared" si="257"/>
        <v>1.4598540145985401</v>
      </c>
      <c r="X715" s="4">
        <f t="shared" si="258"/>
        <v>532.8467153284671</v>
      </c>
      <c r="Y715" s="4">
        <f t="shared" si="259"/>
        <v>0.66605839416058388</v>
      </c>
      <c r="AB715" s="5">
        <f t="shared" si="260"/>
        <v>45292</v>
      </c>
      <c r="AC715" s="5">
        <f t="shared" si="261"/>
        <v>45657</v>
      </c>
      <c r="AD715" s="1">
        <v>2</v>
      </c>
      <c r="AE715" s="1">
        <f t="shared" si="262"/>
        <v>0</v>
      </c>
      <c r="AF715" s="1">
        <f t="shared" si="263"/>
        <v>0</v>
      </c>
      <c r="AG715" s="1">
        <f t="shared" si="264"/>
        <v>0</v>
      </c>
      <c r="AH715" s="1">
        <f t="shared" si="265"/>
        <v>0</v>
      </c>
      <c r="AI715" s="1">
        <f t="shared" si="266"/>
        <v>183</v>
      </c>
      <c r="AJ715" s="3">
        <f t="shared" si="267"/>
        <v>0.5</v>
      </c>
      <c r="AK715" s="3">
        <f t="shared" si="268"/>
        <v>0.33302919708029194</v>
      </c>
      <c r="AL715" s="3">
        <f t="shared" si="269"/>
        <v>0.33302919708029194</v>
      </c>
      <c r="AM715" s="3">
        <f t="shared" si="270"/>
        <v>0.33302919708029194</v>
      </c>
      <c r="AN715" s="3">
        <f t="shared" si="271"/>
        <v>0</v>
      </c>
      <c r="AO715" s="3">
        <f t="shared" si="272"/>
        <v>0.33302919708029194</v>
      </c>
      <c r="AP715" s="1" t="str">
        <f>INDEX({"EAD";"EAD";"EAD";"EAD MOOC";"EAD";"EAD";"EAD FP";"EAD";"PRESENCIAL";"PRESENCIAL";"PRESENCIAL";"PRESENCIAL"}, MATCH(CONCATENATE(E715, ".", F715),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16" spans="1:42" x14ac:dyDescent="0.25">
      <c r="A716" s="1" t="s">
        <v>27</v>
      </c>
      <c r="B716" s="1" t="s">
        <v>43</v>
      </c>
      <c r="C716" s="1" t="s">
        <v>29</v>
      </c>
      <c r="D716" s="1" t="s">
        <v>45</v>
      </c>
      <c r="E716" s="1" t="s">
        <v>120</v>
      </c>
      <c r="F716" s="1" t="s">
        <v>21</v>
      </c>
      <c r="G716" s="1" t="s">
        <v>121</v>
      </c>
      <c r="H716" s="1" t="s">
        <v>869</v>
      </c>
      <c r="I716" s="1" t="s">
        <v>228</v>
      </c>
      <c r="J716" s="1" t="s">
        <v>125</v>
      </c>
      <c r="K716" s="1" t="s">
        <v>109</v>
      </c>
      <c r="L716" s="1">
        <v>2532122</v>
      </c>
      <c r="M716" s="1" t="s">
        <v>912</v>
      </c>
      <c r="N716" s="5">
        <f>DATE(2018,8,1)</f>
        <v>43313</v>
      </c>
      <c r="O716" s="5">
        <f>DATE(2023,8,1)</f>
        <v>45139</v>
      </c>
      <c r="P716" s="5">
        <f t="shared" si="253"/>
        <v>46234</v>
      </c>
      <c r="Q716" s="1">
        <v>4020</v>
      </c>
      <c r="R716" s="1">
        <v>3600</v>
      </c>
      <c r="S716" s="1">
        <f t="shared" si="254"/>
        <v>3600</v>
      </c>
      <c r="T716" s="1">
        <v>2.5</v>
      </c>
      <c r="U716" s="1" t="str">
        <f t="shared" si="255"/>
        <v>SIM</v>
      </c>
      <c r="V716" s="1">
        <f t="shared" si="256"/>
        <v>1827</v>
      </c>
      <c r="W716" s="4">
        <f t="shared" si="257"/>
        <v>1.9704433497536946</v>
      </c>
      <c r="X716" s="4">
        <f t="shared" si="258"/>
        <v>719.21182266009851</v>
      </c>
      <c r="Y716" s="4">
        <f t="shared" si="259"/>
        <v>0.89901477832512311</v>
      </c>
      <c r="AB716" s="5">
        <f t="shared" si="260"/>
        <v>45292</v>
      </c>
      <c r="AC716" s="5">
        <f t="shared" si="261"/>
        <v>45657</v>
      </c>
      <c r="AD716" s="1">
        <v>6</v>
      </c>
      <c r="AE716" s="1">
        <f t="shared" si="262"/>
        <v>0</v>
      </c>
      <c r="AF716" s="1">
        <f t="shared" si="263"/>
        <v>0</v>
      </c>
      <c r="AG716" s="1">
        <f t="shared" si="264"/>
        <v>0</v>
      </c>
      <c r="AH716" s="1">
        <f t="shared" si="265"/>
        <v>0</v>
      </c>
      <c r="AI716" s="1">
        <f t="shared" si="266"/>
        <v>183</v>
      </c>
      <c r="AJ716" s="3">
        <f t="shared" si="267"/>
        <v>0.5</v>
      </c>
      <c r="AK716" s="3">
        <f t="shared" si="268"/>
        <v>0.44950738916256155</v>
      </c>
      <c r="AL716" s="3">
        <f t="shared" si="269"/>
        <v>1.3485221674876846</v>
      </c>
      <c r="AM716" s="3">
        <f t="shared" si="270"/>
        <v>3.3713054187192117</v>
      </c>
      <c r="AN716" s="3">
        <f t="shared" si="271"/>
        <v>0</v>
      </c>
      <c r="AO716" s="3">
        <f t="shared" si="272"/>
        <v>3.3713054187192117</v>
      </c>
      <c r="AP716" s="1" t="str">
        <f>INDEX({"EAD";"EAD";"EAD";"EAD MOOC";"EAD";"EAD";"EAD FP";"EAD";"PRESENCIAL";"PRESENCIAL";"PRESENCIAL";"PRESENCIAL"}, MATCH(CONCATENATE(E716, ".", F716),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17" spans="1:42" x14ac:dyDescent="0.25">
      <c r="A717" s="1" t="s">
        <v>27</v>
      </c>
      <c r="B717" s="1" t="s">
        <v>43</v>
      </c>
      <c r="C717" s="1" t="s">
        <v>29</v>
      </c>
      <c r="D717" s="1" t="s">
        <v>45</v>
      </c>
      <c r="E717" s="1" t="s">
        <v>170</v>
      </c>
      <c r="F717" s="1" t="s">
        <v>510</v>
      </c>
      <c r="G717" s="1" t="s">
        <v>278</v>
      </c>
      <c r="H717" s="1" t="s">
        <v>320</v>
      </c>
      <c r="I717" s="1" t="s">
        <v>172</v>
      </c>
      <c r="J717" s="1" t="s">
        <v>125</v>
      </c>
      <c r="K717" s="1" t="s">
        <v>109</v>
      </c>
      <c r="L717" s="1">
        <v>2552476</v>
      </c>
      <c r="M717" s="1" t="s">
        <v>913</v>
      </c>
      <c r="N717" s="5">
        <f t="shared" ref="N717:N730" si="273">DATE(2018,10,25)</f>
        <v>43398</v>
      </c>
      <c r="O717" s="5">
        <f t="shared" ref="O717:O730" si="274">DATE(2022,10,24)</f>
        <v>44858</v>
      </c>
      <c r="P717" s="5">
        <f t="shared" si="253"/>
        <v>45953</v>
      </c>
      <c r="Q717" s="1">
        <v>3500</v>
      </c>
      <c r="R717" s="1">
        <v>3200</v>
      </c>
      <c r="S717" s="1">
        <f t="shared" si="254"/>
        <v>3200</v>
      </c>
      <c r="T717" s="1">
        <v>2.5</v>
      </c>
      <c r="U717" s="1" t="str">
        <f t="shared" si="255"/>
        <v>SIM</v>
      </c>
      <c r="V717" s="1">
        <f t="shared" si="256"/>
        <v>1461</v>
      </c>
      <c r="W717" s="4">
        <f t="shared" si="257"/>
        <v>2.1902806297056809</v>
      </c>
      <c r="X717" s="4">
        <f t="shared" si="258"/>
        <v>799.45242984257357</v>
      </c>
      <c r="Y717" s="4">
        <f t="shared" si="259"/>
        <v>0.99931553730321698</v>
      </c>
      <c r="AB717" s="5">
        <f t="shared" si="260"/>
        <v>45292</v>
      </c>
      <c r="AC717" s="5">
        <f t="shared" si="261"/>
        <v>45657</v>
      </c>
      <c r="AD717" s="1">
        <v>8</v>
      </c>
      <c r="AE717" s="1">
        <f t="shared" si="262"/>
        <v>0</v>
      </c>
      <c r="AF717" s="1">
        <f t="shared" si="263"/>
        <v>0</v>
      </c>
      <c r="AG717" s="1">
        <f t="shared" si="264"/>
        <v>0</v>
      </c>
      <c r="AH717" s="1">
        <f t="shared" si="265"/>
        <v>0</v>
      </c>
      <c r="AI717" s="1">
        <f t="shared" si="266"/>
        <v>183</v>
      </c>
      <c r="AJ717" s="3">
        <f t="shared" si="267"/>
        <v>0.5</v>
      </c>
      <c r="AK717" s="3">
        <f t="shared" si="268"/>
        <v>0.49965776865160849</v>
      </c>
      <c r="AL717" s="3">
        <f t="shared" si="269"/>
        <v>1.998631074606434</v>
      </c>
      <c r="AM717" s="3">
        <f t="shared" si="270"/>
        <v>4.9965776865160851</v>
      </c>
      <c r="AN717" s="3">
        <f t="shared" si="271"/>
        <v>0</v>
      </c>
      <c r="AO717" s="3">
        <f t="shared" si="272"/>
        <v>4.9965776865160851</v>
      </c>
      <c r="AP717" s="1" t="str">
        <f>INDEX({"EAD";"EAD";"EAD";"EAD MOOC";"EAD";"EAD";"EAD FP";"EAD";"PRESENCIAL";"PRESENCIAL";"PRESENCIAL";"PRESENCIAL"}, MATCH(CONCATENATE(E717, ".", F717),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18" spans="1:42" x14ac:dyDescent="0.25">
      <c r="A718" s="1" t="s">
        <v>27</v>
      </c>
      <c r="B718" s="1" t="s">
        <v>43</v>
      </c>
      <c r="C718" s="1" t="s">
        <v>29</v>
      </c>
      <c r="D718" s="1" t="s">
        <v>45</v>
      </c>
      <c r="E718" s="1" t="s">
        <v>170</v>
      </c>
      <c r="F718" s="1" t="s">
        <v>510</v>
      </c>
      <c r="G718" s="1" t="s">
        <v>278</v>
      </c>
      <c r="H718" s="1" t="s">
        <v>320</v>
      </c>
      <c r="I718" s="1" t="s">
        <v>172</v>
      </c>
      <c r="J718" s="1" t="s">
        <v>125</v>
      </c>
      <c r="K718" s="1" t="s">
        <v>109</v>
      </c>
      <c r="L718" s="1">
        <v>2552964</v>
      </c>
      <c r="M718" s="1" t="s">
        <v>913</v>
      </c>
      <c r="N718" s="5">
        <f t="shared" si="273"/>
        <v>43398</v>
      </c>
      <c r="O718" s="5">
        <f t="shared" si="274"/>
        <v>44858</v>
      </c>
      <c r="P718" s="5">
        <f t="shared" si="253"/>
        <v>45953</v>
      </c>
      <c r="Q718" s="1">
        <v>3500</v>
      </c>
      <c r="R718" s="1">
        <v>3200</v>
      </c>
      <c r="S718" s="1">
        <f t="shared" si="254"/>
        <v>3200</v>
      </c>
      <c r="T718" s="1">
        <v>2.5</v>
      </c>
      <c r="U718" s="1" t="str">
        <f t="shared" si="255"/>
        <v>SIM</v>
      </c>
      <c r="V718" s="1">
        <f t="shared" si="256"/>
        <v>1461</v>
      </c>
      <c r="W718" s="4">
        <f t="shared" si="257"/>
        <v>2.1902806297056809</v>
      </c>
      <c r="X718" s="4">
        <f t="shared" si="258"/>
        <v>799.45242984257357</v>
      </c>
      <c r="Y718" s="4">
        <f t="shared" si="259"/>
        <v>0.99931553730321698</v>
      </c>
      <c r="AB718" s="5">
        <f t="shared" si="260"/>
        <v>45292</v>
      </c>
      <c r="AC718" s="5">
        <f t="shared" si="261"/>
        <v>45657</v>
      </c>
      <c r="AD718" s="1">
        <v>10</v>
      </c>
      <c r="AE718" s="1">
        <f t="shared" si="262"/>
        <v>0</v>
      </c>
      <c r="AF718" s="1">
        <f t="shared" si="263"/>
        <v>0</v>
      </c>
      <c r="AG718" s="1">
        <f t="shared" si="264"/>
        <v>0</v>
      </c>
      <c r="AH718" s="1">
        <f t="shared" si="265"/>
        <v>0</v>
      </c>
      <c r="AI718" s="1">
        <f t="shared" si="266"/>
        <v>183</v>
      </c>
      <c r="AJ718" s="3">
        <f t="shared" si="267"/>
        <v>0.5</v>
      </c>
      <c r="AK718" s="3">
        <f t="shared" si="268"/>
        <v>0.49965776865160849</v>
      </c>
      <c r="AL718" s="3">
        <f t="shared" si="269"/>
        <v>2.4982888432580426</v>
      </c>
      <c r="AM718" s="3">
        <f t="shared" si="270"/>
        <v>6.245722108145106</v>
      </c>
      <c r="AN718" s="3">
        <f t="shared" si="271"/>
        <v>0</v>
      </c>
      <c r="AO718" s="3">
        <f t="shared" si="272"/>
        <v>6.245722108145106</v>
      </c>
      <c r="AP718" s="1" t="str">
        <f>INDEX({"EAD";"EAD";"EAD";"EAD MOOC";"EAD";"EAD";"EAD FP";"EAD";"PRESENCIAL";"PRESENCIAL";"PRESENCIAL";"PRESENCIAL"}, MATCH(CONCATENATE(E718, ".", F718),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19" spans="1:42" x14ac:dyDescent="0.25">
      <c r="A719" s="1" t="s">
        <v>27</v>
      </c>
      <c r="B719" s="1" t="s">
        <v>43</v>
      </c>
      <c r="C719" s="1" t="s">
        <v>29</v>
      </c>
      <c r="D719" s="1" t="s">
        <v>45</v>
      </c>
      <c r="E719" s="1" t="s">
        <v>170</v>
      </c>
      <c r="F719" s="1" t="s">
        <v>510</v>
      </c>
      <c r="G719" s="1" t="s">
        <v>278</v>
      </c>
      <c r="H719" s="1" t="s">
        <v>320</v>
      </c>
      <c r="I719" s="1" t="s">
        <v>172</v>
      </c>
      <c r="J719" s="1" t="s">
        <v>125</v>
      </c>
      <c r="K719" s="1" t="s">
        <v>109</v>
      </c>
      <c r="L719" s="1">
        <v>2552965</v>
      </c>
      <c r="M719" s="1" t="s">
        <v>913</v>
      </c>
      <c r="N719" s="5">
        <f t="shared" si="273"/>
        <v>43398</v>
      </c>
      <c r="O719" s="5">
        <f t="shared" si="274"/>
        <v>44858</v>
      </c>
      <c r="P719" s="5">
        <f t="shared" si="253"/>
        <v>45953</v>
      </c>
      <c r="Q719" s="1">
        <v>3500</v>
      </c>
      <c r="R719" s="1">
        <v>3200</v>
      </c>
      <c r="S719" s="1">
        <f t="shared" si="254"/>
        <v>3200</v>
      </c>
      <c r="T719" s="1">
        <v>2.5</v>
      </c>
      <c r="U719" s="1" t="str">
        <f t="shared" si="255"/>
        <v>SIM</v>
      </c>
      <c r="V719" s="1">
        <f t="shared" si="256"/>
        <v>1461</v>
      </c>
      <c r="W719" s="4">
        <f t="shared" si="257"/>
        <v>2.1902806297056809</v>
      </c>
      <c r="X719" s="4">
        <f t="shared" si="258"/>
        <v>799.45242984257357</v>
      </c>
      <c r="Y719" s="4">
        <f t="shared" si="259"/>
        <v>0.99931553730321698</v>
      </c>
      <c r="AB719" s="5">
        <f t="shared" si="260"/>
        <v>45292</v>
      </c>
      <c r="AC719" s="5">
        <f t="shared" si="261"/>
        <v>45657</v>
      </c>
      <c r="AD719" s="1">
        <v>11</v>
      </c>
      <c r="AE719" s="1">
        <f t="shared" si="262"/>
        <v>0</v>
      </c>
      <c r="AF719" s="1">
        <f t="shared" si="263"/>
        <v>0</v>
      </c>
      <c r="AG719" s="1">
        <f t="shared" si="264"/>
        <v>0</v>
      </c>
      <c r="AH719" s="1">
        <f t="shared" si="265"/>
        <v>0</v>
      </c>
      <c r="AI719" s="1">
        <f t="shared" si="266"/>
        <v>183</v>
      </c>
      <c r="AJ719" s="3">
        <f t="shared" si="267"/>
        <v>0.5</v>
      </c>
      <c r="AK719" s="3">
        <f t="shared" si="268"/>
        <v>0.49965776865160849</v>
      </c>
      <c r="AL719" s="3">
        <f t="shared" si="269"/>
        <v>2.7481177275838466</v>
      </c>
      <c r="AM719" s="3">
        <f t="shared" si="270"/>
        <v>6.8702943189596164</v>
      </c>
      <c r="AN719" s="3">
        <f t="shared" si="271"/>
        <v>0</v>
      </c>
      <c r="AO719" s="3">
        <f t="shared" si="272"/>
        <v>6.8702943189596164</v>
      </c>
      <c r="AP719" s="1" t="str">
        <f>INDEX({"EAD";"EAD";"EAD";"EAD MOOC";"EAD";"EAD";"EAD FP";"EAD";"PRESENCIAL";"PRESENCIAL";"PRESENCIAL";"PRESENCIAL"}, MATCH(CONCATENATE(E719, ".", F719),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20" spans="1:42" x14ac:dyDescent="0.25">
      <c r="A720" s="1" t="s">
        <v>27</v>
      </c>
      <c r="B720" s="1" t="s">
        <v>43</v>
      </c>
      <c r="C720" s="1" t="s">
        <v>29</v>
      </c>
      <c r="D720" s="1" t="s">
        <v>45</v>
      </c>
      <c r="E720" s="1" t="s">
        <v>170</v>
      </c>
      <c r="F720" s="1" t="s">
        <v>510</v>
      </c>
      <c r="G720" s="1" t="s">
        <v>278</v>
      </c>
      <c r="H720" s="1" t="s">
        <v>320</v>
      </c>
      <c r="I720" s="1" t="s">
        <v>172</v>
      </c>
      <c r="J720" s="1" t="s">
        <v>125</v>
      </c>
      <c r="K720" s="1" t="s">
        <v>109</v>
      </c>
      <c r="L720" s="1">
        <v>2552967</v>
      </c>
      <c r="M720" s="1" t="s">
        <v>913</v>
      </c>
      <c r="N720" s="5">
        <f t="shared" si="273"/>
        <v>43398</v>
      </c>
      <c r="O720" s="5">
        <f t="shared" si="274"/>
        <v>44858</v>
      </c>
      <c r="P720" s="5">
        <f t="shared" si="253"/>
        <v>45953</v>
      </c>
      <c r="Q720" s="1">
        <v>3500</v>
      </c>
      <c r="R720" s="1">
        <v>3200</v>
      </c>
      <c r="S720" s="1">
        <f t="shared" si="254"/>
        <v>3200</v>
      </c>
      <c r="T720" s="1">
        <v>2.5</v>
      </c>
      <c r="U720" s="1" t="str">
        <f t="shared" si="255"/>
        <v>SIM</v>
      </c>
      <c r="V720" s="1">
        <f t="shared" si="256"/>
        <v>1461</v>
      </c>
      <c r="W720" s="4">
        <f t="shared" si="257"/>
        <v>2.1902806297056809</v>
      </c>
      <c r="X720" s="4">
        <f t="shared" si="258"/>
        <v>799.45242984257357</v>
      </c>
      <c r="Y720" s="4">
        <f t="shared" si="259"/>
        <v>0.99931553730321698</v>
      </c>
      <c r="AB720" s="5">
        <f t="shared" si="260"/>
        <v>45292</v>
      </c>
      <c r="AC720" s="5">
        <f t="shared" si="261"/>
        <v>45657</v>
      </c>
      <c r="AD720" s="1">
        <v>14</v>
      </c>
      <c r="AE720" s="1">
        <f t="shared" si="262"/>
        <v>0</v>
      </c>
      <c r="AF720" s="1">
        <f t="shared" si="263"/>
        <v>0</v>
      </c>
      <c r="AG720" s="1">
        <f t="shared" si="264"/>
        <v>0</v>
      </c>
      <c r="AH720" s="1">
        <f t="shared" si="265"/>
        <v>0</v>
      </c>
      <c r="AI720" s="1">
        <f t="shared" si="266"/>
        <v>183</v>
      </c>
      <c r="AJ720" s="3">
        <f t="shared" si="267"/>
        <v>0.5</v>
      </c>
      <c r="AK720" s="3">
        <f t="shared" si="268"/>
        <v>0.49965776865160849</v>
      </c>
      <c r="AL720" s="3">
        <f t="shared" si="269"/>
        <v>3.4976043805612593</v>
      </c>
      <c r="AM720" s="3">
        <f t="shared" si="270"/>
        <v>8.7440109514031477</v>
      </c>
      <c r="AN720" s="3">
        <f t="shared" si="271"/>
        <v>0</v>
      </c>
      <c r="AO720" s="3">
        <f t="shared" si="272"/>
        <v>8.7440109514031477</v>
      </c>
      <c r="AP720" s="1" t="str">
        <f>INDEX({"EAD";"EAD";"EAD";"EAD MOOC";"EAD";"EAD";"EAD FP";"EAD";"PRESENCIAL";"PRESENCIAL";"PRESENCIAL";"PRESENCIAL"}, MATCH(CONCATENATE(E720, ".", F720),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21" spans="1:42" x14ac:dyDescent="0.25">
      <c r="A721" s="1" t="s">
        <v>27</v>
      </c>
      <c r="B721" s="1" t="s">
        <v>43</v>
      </c>
      <c r="C721" s="1" t="s">
        <v>29</v>
      </c>
      <c r="D721" s="1" t="s">
        <v>45</v>
      </c>
      <c r="E721" s="1" t="s">
        <v>170</v>
      </c>
      <c r="F721" s="1" t="s">
        <v>510</v>
      </c>
      <c r="G721" s="1" t="s">
        <v>278</v>
      </c>
      <c r="H721" s="1" t="s">
        <v>320</v>
      </c>
      <c r="I721" s="1" t="s">
        <v>172</v>
      </c>
      <c r="J721" s="1" t="s">
        <v>125</v>
      </c>
      <c r="K721" s="1" t="s">
        <v>109</v>
      </c>
      <c r="L721" s="1">
        <v>2552968</v>
      </c>
      <c r="M721" s="1" t="s">
        <v>913</v>
      </c>
      <c r="N721" s="5">
        <f t="shared" si="273"/>
        <v>43398</v>
      </c>
      <c r="O721" s="5">
        <f t="shared" si="274"/>
        <v>44858</v>
      </c>
      <c r="P721" s="5">
        <f t="shared" si="253"/>
        <v>45953</v>
      </c>
      <c r="Q721" s="1">
        <v>3500</v>
      </c>
      <c r="R721" s="1">
        <v>3200</v>
      </c>
      <c r="S721" s="1">
        <f t="shared" si="254"/>
        <v>3200</v>
      </c>
      <c r="T721" s="1">
        <v>2.5</v>
      </c>
      <c r="U721" s="1" t="str">
        <f t="shared" si="255"/>
        <v>SIM</v>
      </c>
      <c r="V721" s="1">
        <f t="shared" si="256"/>
        <v>1461</v>
      </c>
      <c r="W721" s="4">
        <f t="shared" si="257"/>
        <v>2.1902806297056809</v>
      </c>
      <c r="X721" s="4">
        <f t="shared" si="258"/>
        <v>799.45242984257357</v>
      </c>
      <c r="Y721" s="4">
        <f t="shared" si="259"/>
        <v>0.99931553730321698</v>
      </c>
      <c r="AB721" s="5">
        <f t="shared" si="260"/>
        <v>45292</v>
      </c>
      <c r="AC721" s="5">
        <f t="shared" si="261"/>
        <v>45657</v>
      </c>
      <c r="AD721" s="1">
        <v>20</v>
      </c>
      <c r="AE721" s="1">
        <f t="shared" si="262"/>
        <v>0</v>
      </c>
      <c r="AF721" s="1">
        <f t="shared" si="263"/>
        <v>0</v>
      </c>
      <c r="AG721" s="1">
        <f t="shared" si="264"/>
        <v>0</v>
      </c>
      <c r="AH721" s="1">
        <f t="shared" si="265"/>
        <v>0</v>
      </c>
      <c r="AI721" s="1">
        <f t="shared" si="266"/>
        <v>183</v>
      </c>
      <c r="AJ721" s="3">
        <f t="shared" si="267"/>
        <v>0.5</v>
      </c>
      <c r="AK721" s="3">
        <f t="shared" si="268"/>
        <v>0.49965776865160849</v>
      </c>
      <c r="AL721" s="3">
        <f t="shared" si="269"/>
        <v>4.9965776865160851</v>
      </c>
      <c r="AM721" s="3">
        <f t="shared" si="270"/>
        <v>12.491444216290212</v>
      </c>
      <c r="AN721" s="3">
        <f t="shared" si="271"/>
        <v>0</v>
      </c>
      <c r="AO721" s="3">
        <f t="shared" si="272"/>
        <v>12.491444216290212</v>
      </c>
      <c r="AP721" s="1" t="str">
        <f>INDEX({"EAD";"EAD";"EAD";"EAD MOOC";"EAD";"EAD";"EAD FP";"EAD";"PRESENCIAL";"PRESENCIAL";"PRESENCIAL";"PRESENCIAL"}, MATCH(CONCATENATE(E721, ".", F721),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22" spans="1:42" x14ac:dyDescent="0.25">
      <c r="A722" s="1" t="s">
        <v>27</v>
      </c>
      <c r="B722" s="1" t="s">
        <v>43</v>
      </c>
      <c r="C722" s="1" t="s">
        <v>29</v>
      </c>
      <c r="D722" s="1" t="s">
        <v>45</v>
      </c>
      <c r="E722" s="1" t="s">
        <v>170</v>
      </c>
      <c r="F722" s="1" t="s">
        <v>510</v>
      </c>
      <c r="G722" s="1" t="s">
        <v>278</v>
      </c>
      <c r="H722" s="1" t="s">
        <v>320</v>
      </c>
      <c r="I722" s="1" t="s">
        <v>172</v>
      </c>
      <c r="J722" s="1" t="s">
        <v>125</v>
      </c>
      <c r="K722" s="1" t="s">
        <v>109</v>
      </c>
      <c r="L722" s="1">
        <v>2552970</v>
      </c>
      <c r="M722" s="1" t="s">
        <v>913</v>
      </c>
      <c r="N722" s="5">
        <f t="shared" si="273"/>
        <v>43398</v>
      </c>
      <c r="O722" s="5">
        <f t="shared" si="274"/>
        <v>44858</v>
      </c>
      <c r="P722" s="5">
        <f t="shared" si="253"/>
        <v>45953</v>
      </c>
      <c r="Q722" s="1">
        <v>3500</v>
      </c>
      <c r="R722" s="1">
        <v>3200</v>
      </c>
      <c r="S722" s="1">
        <f t="shared" si="254"/>
        <v>3200</v>
      </c>
      <c r="T722" s="1">
        <v>2.5</v>
      </c>
      <c r="U722" s="1" t="str">
        <f t="shared" si="255"/>
        <v>SIM</v>
      </c>
      <c r="V722" s="1">
        <f t="shared" si="256"/>
        <v>1461</v>
      </c>
      <c r="W722" s="4">
        <f t="shared" si="257"/>
        <v>2.1902806297056809</v>
      </c>
      <c r="X722" s="4">
        <f t="shared" si="258"/>
        <v>799.45242984257357</v>
      </c>
      <c r="Y722" s="4">
        <f t="shared" si="259"/>
        <v>0.99931553730321698</v>
      </c>
      <c r="AB722" s="5">
        <f t="shared" si="260"/>
        <v>45292</v>
      </c>
      <c r="AC722" s="5">
        <f t="shared" si="261"/>
        <v>45657</v>
      </c>
      <c r="AD722" s="1">
        <v>4</v>
      </c>
      <c r="AE722" s="1">
        <f t="shared" si="262"/>
        <v>0</v>
      </c>
      <c r="AF722" s="1">
        <f t="shared" si="263"/>
        <v>0</v>
      </c>
      <c r="AG722" s="1">
        <f t="shared" si="264"/>
        <v>0</v>
      </c>
      <c r="AH722" s="1">
        <f t="shared" si="265"/>
        <v>0</v>
      </c>
      <c r="AI722" s="1">
        <f t="shared" si="266"/>
        <v>183</v>
      </c>
      <c r="AJ722" s="3">
        <f t="shared" si="267"/>
        <v>0.5</v>
      </c>
      <c r="AK722" s="3">
        <f t="shared" si="268"/>
        <v>0.49965776865160849</v>
      </c>
      <c r="AL722" s="3">
        <f t="shared" si="269"/>
        <v>0.99931553730321698</v>
      </c>
      <c r="AM722" s="3">
        <f t="shared" si="270"/>
        <v>2.4982888432580426</v>
      </c>
      <c r="AN722" s="3">
        <f t="shared" si="271"/>
        <v>0</v>
      </c>
      <c r="AO722" s="3">
        <f t="shared" si="272"/>
        <v>2.4982888432580426</v>
      </c>
      <c r="AP722" s="1" t="str">
        <f>INDEX({"EAD";"EAD";"EAD";"EAD MOOC";"EAD";"EAD";"EAD FP";"EAD";"PRESENCIAL";"PRESENCIAL";"PRESENCIAL";"PRESENCIAL"}, MATCH(CONCATENATE(E722, ".", F722),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23" spans="1:42" x14ac:dyDescent="0.25">
      <c r="A723" s="1" t="s">
        <v>27</v>
      </c>
      <c r="B723" s="1" t="s">
        <v>43</v>
      </c>
      <c r="C723" s="1" t="s">
        <v>29</v>
      </c>
      <c r="D723" s="1" t="s">
        <v>45</v>
      </c>
      <c r="E723" s="1" t="s">
        <v>170</v>
      </c>
      <c r="F723" s="1" t="s">
        <v>510</v>
      </c>
      <c r="G723" s="1" t="s">
        <v>278</v>
      </c>
      <c r="H723" s="1" t="s">
        <v>279</v>
      </c>
      <c r="I723" s="1" t="s">
        <v>172</v>
      </c>
      <c r="J723" s="1" t="s">
        <v>125</v>
      </c>
      <c r="K723" s="1" t="s">
        <v>109</v>
      </c>
      <c r="L723" s="1">
        <v>2553206</v>
      </c>
      <c r="M723" s="1" t="s">
        <v>914</v>
      </c>
      <c r="N723" s="5">
        <f t="shared" si="273"/>
        <v>43398</v>
      </c>
      <c r="O723" s="5">
        <f t="shared" si="274"/>
        <v>44858</v>
      </c>
      <c r="P723" s="5">
        <f t="shared" si="253"/>
        <v>45953</v>
      </c>
      <c r="Q723" s="1">
        <v>3470</v>
      </c>
      <c r="R723" s="1">
        <v>3200</v>
      </c>
      <c r="S723" s="1">
        <f t="shared" si="254"/>
        <v>3200</v>
      </c>
      <c r="T723" s="1">
        <v>2.5</v>
      </c>
      <c r="U723" s="1" t="str">
        <f t="shared" si="255"/>
        <v>SIM</v>
      </c>
      <c r="V723" s="1">
        <f t="shared" si="256"/>
        <v>1461</v>
      </c>
      <c r="W723" s="4">
        <f t="shared" si="257"/>
        <v>2.1902806297056809</v>
      </c>
      <c r="X723" s="4">
        <f t="shared" si="258"/>
        <v>799.45242984257357</v>
      </c>
      <c r="Y723" s="4">
        <f t="shared" si="259"/>
        <v>0.99931553730321698</v>
      </c>
      <c r="AB723" s="5">
        <f t="shared" si="260"/>
        <v>45292</v>
      </c>
      <c r="AC723" s="5">
        <f t="shared" si="261"/>
        <v>45657</v>
      </c>
      <c r="AD723" s="1">
        <v>13</v>
      </c>
      <c r="AE723" s="1">
        <f t="shared" si="262"/>
        <v>0</v>
      </c>
      <c r="AF723" s="1">
        <f t="shared" si="263"/>
        <v>0</v>
      </c>
      <c r="AG723" s="1">
        <f t="shared" si="264"/>
        <v>0</v>
      </c>
      <c r="AH723" s="1">
        <f t="shared" si="265"/>
        <v>0</v>
      </c>
      <c r="AI723" s="1">
        <f t="shared" si="266"/>
        <v>183</v>
      </c>
      <c r="AJ723" s="3">
        <f t="shared" si="267"/>
        <v>0.5</v>
      </c>
      <c r="AK723" s="3">
        <f t="shared" si="268"/>
        <v>0.49965776865160849</v>
      </c>
      <c r="AL723" s="3">
        <f t="shared" si="269"/>
        <v>3.2477754962354553</v>
      </c>
      <c r="AM723" s="3">
        <f t="shared" si="270"/>
        <v>8.1194387405886381</v>
      </c>
      <c r="AN723" s="3">
        <f t="shared" si="271"/>
        <v>0</v>
      </c>
      <c r="AO723" s="3">
        <f t="shared" si="272"/>
        <v>8.1194387405886381</v>
      </c>
      <c r="AP723" s="1" t="str">
        <f>INDEX({"EAD";"EAD";"EAD";"EAD MOOC";"EAD";"EAD";"EAD FP";"EAD";"PRESENCIAL";"PRESENCIAL";"PRESENCIAL";"PRESENCIAL"}, MATCH(CONCATENATE(E723, ".", F723),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24" spans="1:42" x14ac:dyDescent="0.25">
      <c r="A724" s="1" t="s">
        <v>27</v>
      </c>
      <c r="B724" s="1" t="s">
        <v>43</v>
      </c>
      <c r="C724" s="1" t="s">
        <v>29</v>
      </c>
      <c r="D724" s="1" t="s">
        <v>45</v>
      </c>
      <c r="E724" s="1" t="s">
        <v>170</v>
      </c>
      <c r="F724" s="1" t="s">
        <v>510</v>
      </c>
      <c r="G724" s="1" t="s">
        <v>278</v>
      </c>
      <c r="H724" s="1" t="s">
        <v>279</v>
      </c>
      <c r="I724" s="1" t="s">
        <v>172</v>
      </c>
      <c r="J724" s="1" t="s">
        <v>125</v>
      </c>
      <c r="K724" s="1" t="s">
        <v>109</v>
      </c>
      <c r="L724" s="1">
        <v>2553209</v>
      </c>
      <c r="M724" s="1" t="s">
        <v>914</v>
      </c>
      <c r="N724" s="5">
        <f t="shared" si="273"/>
        <v>43398</v>
      </c>
      <c r="O724" s="5">
        <f t="shared" si="274"/>
        <v>44858</v>
      </c>
      <c r="P724" s="5">
        <f t="shared" si="253"/>
        <v>45953</v>
      </c>
      <c r="Q724" s="1">
        <v>3470</v>
      </c>
      <c r="R724" s="1">
        <v>3200</v>
      </c>
      <c r="S724" s="1">
        <f t="shared" si="254"/>
        <v>3200</v>
      </c>
      <c r="T724" s="1">
        <v>2.5</v>
      </c>
      <c r="U724" s="1" t="str">
        <f t="shared" si="255"/>
        <v>SIM</v>
      </c>
      <c r="V724" s="1">
        <f t="shared" si="256"/>
        <v>1461</v>
      </c>
      <c r="W724" s="4">
        <f t="shared" si="257"/>
        <v>2.1902806297056809</v>
      </c>
      <c r="X724" s="4">
        <f t="shared" si="258"/>
        <v>799.45242984257357</v>
      </c>
      <c r="Y724" s="4">
        <f t="shared" si="259"/>
        <v>0.99931553730321698</v>
      </c>
      <c r="AB724" s="5">
        <f t="shared" si="260"/>
        <v>45292</v>
      </c>
      <c r="AC724" s="5">
        <f t="shared" si="261"/>
        <v>45657</v>
      </c>
      <c r="AD724" s="1">
        <v>14</v>
      </c>
      <c r="AE724" s="1">
        <f t="shared" si="262"/>
        <v>0</v>
      </c>
      <c r="AF724" s="1">
        <f t="shared" si="263"/>
        <v>0</v>
      </c>
      <c r="AG724" s="1">
        <f t="shared" si="264"/>
        <v>0</v>
      </c>
      <c r="AH724" s="1">
        <f t="shared" si="265"/>
        <v>0</v>
      </c>
      <c r="AI724" s="1">
        <f t="shared" si="266"/>
        <v>183</v>
      </c>
      <c r="AJ724" s="3">
        <f t="shared" si="267"/>
        <v>0.5</v>
      </c>
      <c r="AK724" s="3">
        <f t="shared" si="268"/>
        <v>0.49965776865160849</v>
      </c>
      <c r="AL724" s="3">
        <f t="shared" si="269"/>
        <v>3.4976043805612593</v>
      </c>
      <c r="AM724" s="3">
        <f t="shared" si="270"/>
        <v>8.7440109514031477</v>
      </c>
      <c r="AN724" s="3">
        <f t="shared" si="271"/>
        <v>0</v>
      </c>
      <c r="AO724" s="3">
        <f t="shared" si="272"/>
        <v>8.7440109514031477</v>
      </c>
      <c r="AP724" s="1" t="str">
        <f>INDEX({"EAD";"EAD";"EAD";"EAD MOOC";"EAD";"EAD";"EAD FP";"EAD";"PRESENCIAL";"PRESENCIAL";"PRESENCIAL";"PRESENCIAL"}, MATCH(CONCATENATE(E724, ".", F724),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25" spans="1:42" x14ac:dyDescent="0.25">
      <c r="A725" s="1" t="s">
        <v>27</v>
      </c>
      <c r="B725" s="1" t="s">
        <v>43</v>
      </c>
      <c r="C725" s="1" t="s">
        <v>29</v>
      </c>
      <c r="D725" s="1" t="s">
        <v>45</v>
      </c>
      <c r="E725" s="1" t="s">
        <v>170</v>
      </c>
      <c r="F725" s="1" t="s">
        <v>510</v>
      </c>
      <c r="G725" s="1" t="s">
        <v>278</v>
      </c>
      <c r="H725" s="1" t="s">
        <v>279</v>
      </c>
      <c r="I725" s="1" t="s">
        <v>172</v>
      </c>
      <c r="J725" s="1" t="s">
        <v>125</v>
      </c>
      <c r="K725" s="1" t="s">
        <v>109</v>
      </c>
      <c r="L725" s="1">
        <v>2553211</v>
      </c>
      <c r="M725" s="1" t="s">
        <v>914</v>
      </c>
      <c r="N725" s="5">
        <f t="shared" si="273"/>
        <v>43398</v>
      </c>
      <c r="O725" s="5">
        <f t="shared" si="274"/>
        <v>44858</v>
      </c>
      <c r="P725" s="5">
        <f t="shared" si="253"/>
        <v>45953</v>
      </c>
      <c r="Q725" s="1">
        <v>3470</v>
      </c>
      <c r="R725" s="1">
        <v>3200</v>
      </c>
      <c r="S725" s="1">
        <f t="shared" si="254"/>
        <v>3200</v>
      </c>
      <c r="T725" s="1">
        <v>2.5</v>
      </c>
      <c r="U725" s="1" t="str">
        <f t="shared" si="255"/>
        <v>SIM</v>
      </c>
      <c r="V725" s="1">
        <f t="shared" si="256"/>
        <v>1461</v>
      </c>
      <c r="W725" s="4">
        <f t="shared" si="257"/>
        <v>2.1902806297056809</v>
      </c>
      <c r="X725" s="4">
        <f t="shared" si="258"/>
        <v>799.45242984257357</v>
      </c>
      <c r="Y725" s="4">
        <f t="shared" si="259"/>
        <v>0.99931553730321698</v>
      </c>
      <c r="AB725" s="5">
        <f t="shared" si="260"/>
        <v>45292</v>
      </c>
      <c r="AC725" s="5">
        <f t="shared" si="261"/>
        <v>45657</v>
      </c>
      <c r="AD725" s="1">
        <v>20</v>
      </c>
      <c r="AE725" s="1">
        <f t="shared" si="262"/>
        <v>0</v>
      </c>
      <c r="AF725" s="1">
        <f t="shared" si="263"/>
        <v>0</v>
      </c>
      <c r="AG725" s="1">
        <f t="shared" si="264"/>
        <v>0</v>
      </c>
      <c r="AH725" s="1">
        <f t="shared" si="265"/>
        <v>0</v>
      </c>
      <c r="AI725" s="1">
        <f t="shared" si="266"/>
        <v>183</v>
      </c>
      <c r="AJ725" s="3">
        <f t="shared" si="267"/>
        <v>0.5</v>
      </c>
      <c r="AK725" s="3">
        <f t="shared" si="268"/>
        <v>0.49965776865160849</v>
      </c>
      <c r="AL725" s="3">
        <f t="shared" si="269"/>
        <v>4.9965776865160851</v>
      </c>
      <c r="AM725" s="3">
        <f t="shared" si="270"/>
        <v>12.491444216290212</v>
      </c>
      <c r="AN725" s="3">
        <f t="shared" si="271"/>
        <v>0</v>
      </c>
      <c r="AO725" s="3">
        <f t="shared" si="272"/>
        <v>12.491444216290212</v>
      </c>
      <c r="AP725" s="1" t="str">
        <f>INDEX({"EAD";"EAD";"EAD";"EAD MOOC";"EAD";"EAD";"EAD FP";"EAD";"PRESENCIAL";"PRESENCIAL";"PRESENCIAL";"PRESENCIAL"}, MATCH(CONCATENATE(E725, ".", F725),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26" spans="1:42" x14ac:dyDescent="0.25">
      <c r="A726" s="1" t="s">
        <v>27</v>
      </c>
      <c r="B726" s="1" t="s">
        <v>43</v>
      </c>
      <c r="C726" s="1" t="s">
        <v>29</v>
      </c>
      <c r="D726" s="1" t="s">
        <v>45</v>
      </c>
      <c r="E726" s="1" t="s">
        <v>170</v>
      </c>
      <c r="F726" s="1" t="s">
        <v>510</v>
      </c>
      <c r="G726" s="1" t="s">
        <v>278</v>
      </c>
      <c r="H726" s="1" t="s">
        <v>279</v>
      </c>
      <c r="I726" s="1" t="s">
        <v>172</v>
      </c>
      <c r="J726" s="1" t="s">
        <v>125</v>
      </c>
      <c r="K726" s="1" t="s">
        <v>109</v>
      </c>
      <c r="L726" s="1">
        <v>2553212</v>
      </c>
      <c r="M726" s="1" t="s">
        <v>914</v>
      </c>
      <c r="N726" s="5">
        <f t="shared" si="273"/>
        <v>43398</v>
      </c>
      <c r="O726" s="5">
        <f t="shared" si="274"/>
        <v>44858</v>
      </c>
      <c r="P726" s="5">
        <f t="shared" si="253"/>
        <v>45953</v>
      </c>
      <c r="Q726" s="1">
        <v>3470</v>
      </c>
      <c r="R726" s="1">
        <v>3200</v>
      </c>
      <c r="S726" s="1">
        <f t="shared" si="254"/>
        <v>3200</v>
      </c>
      <c r="T726" s="1">
        <v>2.5</v>
      </c>
      <c r="U726" s="1" t="str">
        <f t="shared" si="255"/>
        <v>SIM</v>
      </c>
      <c r="V726" s="1">
        <f t="shared" si="256"/>
        <v>1461</v>
      </c>
      <c r="W726" s="4">
        <f t="shared" si="257"/>
        <v>2.1902806297056809</v>
      </c>
      <c r="X726" s="4">
        <f t="shared" si="258"/>
        <v>799.45242984257357</v>
      </c>
      <c r="Y726" s="4">
        <f t="shared" si="259"/>
        <v>0.99931553730321698</v>
      </c>
      <c r="AB726" s="5">
        <f t="shared" si="260"/>
        <v>45292</v>
      </c>
      <c r="AC726" s="5">
        <f t="shared" si="261"/>
        <v>45657</v>
      </c>
      <c r="AD726" s="1">
        <v>16</v>
      </c>
      <c r="AE726" s="1">
        <f t="shared" si="262"/>
        <v>0</v>
      </c>
      <c r="AF726" s="1">
        <f t="shared" si="263"/>
        <v>0</v>
      </c>
      <c r="AG726" s="1">
        <f t="shared" si="264"/>
        <v>0</v>
      </c>
      <c r="AH726" s="1">
        <f t="shared" si="265"/>
        <v>0</v>
      </c>
      <c r="AI726" s="1">
        <f t="shared" si="266"/>
        <v>183</v>
      </c>
      <c r="AJ726" s="3">
        <f t="shared" si="267"/>
        <v>0.5</v>
      </c>
      <c r="AK726" s="3">
        <f t="shared" si="268"/>
        <v>0.49965776865160849</v>
      </c>
      <c r="AL726" s="3">
        <f t="shared" si="269"/>
        <v>3.9972621492128679</v>
      </c>
      <c r="AM726" s="3">
        <f t="shared" si="270"/>
        <v>9.9931553730321703</v>
      </c>
      <c r="AN726" s="3">
        <f t="shared" si="271"/>
        <v>0</v>
      </c>
      <c r="AO726" s="3">
        <f t="shared" si="272"/>
        <v>9.9931553730321703</v>
      </c>
      <c r="AP726" s="1" t="str">
        <f>INDEX({"EAD";"EAD";"EAD";"EAD MOOC";"EAD";"EAD";"EAD FP";"EAD";"PRESENCIAL";"PRESENCIAL";"PRESENCIAL";"PRESENCIAL"}, MATCH(CONCATENATE(E726, ".", F726),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27" spans="1:42" x14ac:dyDescent="0.25">
      <c r="A727" s="1" t="s">
        <v>27</v>
      </c>
      <c r="B727" s="1" t="s">
        <v>43</v>
      </c>
      <c r="C727" s="1" t="s">
        <v>29</v>
      </c>
      <c r="D727" s="1" t="s">
        <v>45</v>
      </c>
      <c r="E727" s="1" t="s">
        <v>170</v>
      </c>
      <c r="F727" s="1" t="s">
        <v>510</v>
      </c>
      <c r="G727" s="1" t="s">
        <v>278</v>
      </c>
      <c r="H727" s="1" t="s">
        <v>279</v>
      </c>
      <c r="I727" s="1" t="s">
        <v>172</v>
      </c>
      <c r="J727" s="1" t="s">
        <v>125</v>
      </c>
      <c r="K727" s="1" t="s">
        <v>109</v>
      </c>
      <c r="L727" s="1">
        <v>2553213</v>
      </c>
      <c r="M727" s="1" t="s">
        <v>914</v>
      </c>
      <c r="N727" s="5">
        <f t="shared" si="273"/>
        <v>43398</v>
      </c>
      <c r="O727" s="5">
        <f t="shared" si="274"/>
        <v>44858</v>
      </c>
      <c r="P727" s="5">
        <f t="shared" si="253"/>
        <v>45953</v>
      </c>
      <c r="Q727" s="1">
        <v>3470</v>
      </c>
      <c r="R727" s="1">
        <v>3200</v>
      </c>
      <c r="S727" s="1">
        <f t="shared" si="254"/>
        <v>3200</v>
      </c>
      <c r="T727" s="1">
        <v>2.5</v>
      </c>
      <c r="U727" s="1" t="str">
        <f t="shared" si="255"/>
        <v>SIM</v>
      </c>
      <c r="V727" s="1">
        <f t="shared" si="256"/>
        <v>1461</v>
      </c>
      <c r="W727" s="4">
        <f t="shared" si="257"/>
        <v>2.1902806297056809</v>
      </c>
      <c r="X727" s="4">
        <f t="shared" si="258"/>
        <v>799.45242984257357</v>
      </c>
      <c r="Y727" s="4">
        <f t="shared" si="259"/>
        <v>0.99931553730321698</v>
      </c>
      <c r="AB727" s="5">
        <f t="shared" si="260"/>
        <v>45292</v>
      </c>
      <c r="AC727" s="5">
        <f t="shared" si="261"/>
        <v>45657</v>
      </c>
      <c r="AD727" s="1">
        <v>24</v>
      </c>
      <c r="AE727" s="1">
        <f t="shared" si="262"/>
        <v>0</v>
      </c>
      <c r="AF727" s="1">
        <f t="shared" si="263"/>
        <v>0</v>
      </c>
      <c r="AG727" s="1">
        <f t="shared" si="264"/>
        <v>0</v>
      </c>
      <c r="AH727" s="1">
        <f t="shared" si="265"/>
        <v>0</v>
      </c>
      <c r="AI727" s="1">
        <f t="shared" si="266"/>
        <v>183</v>
      </c>
      <c r="AJ727" s="3">
        <f t="shared" si="267"/>
        <v>0.5</v>
      </c>
      <c r="AK727" s="3">
        <f t="shared" si="268"/>
        <v>0.49965776865160849</v>
      </c>
      <c r="AL727" s="3">
        <f t="shared" si="269"/>
        <v>5.9958932238193015</v>
      </c>
      <c r="AM727" s="3">
        <f t="shared" si="270"/>
        <v>14.989733059548254</v>
      </c>
      <c r="AN727" s="3">
        <f t="shared" si="271"/>
        <v>0</v>
      </c>
      <c r="AO727" s="3">
        <f t="shared" si="272"/>
        <v>14.989733059548254</v>
      </c>
      <c r="AP727" s="1" t="str">
        <f>INDEX({"EAD";"EAD";"EAD";"EAD MOOC";"EAD";"EAD";"EAD FP";"EAD";"PRESENCIAL";"PRESENCIAL";"PRESENCIAL";"PRESENCIAL"}, MATCH(CONCATENATE(E727, ".", F727),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28" spans="1:42" x14ac:dyDescent="0.25">
      <c r="A728" s="1" t="s">
        <v>27</v>
      </c>
      <c r="B728" s="1" t="s">
        <v>43</v>
      </c>
      <c r="C728" s="1" t="s">
        <v>29</v>
      </c>
      <c r="D728" s="1" t="s">
        <v>45</v>
      </c>
      <c r="E728" s="1" t="s">
        <v>170</v>
      </c>
      <c r="F728" s="1" t="s">
        <v>510</v>
      </c>
      <c r="G728" s="1" t="s">
        <v>278</v>
      </c>
      <c r="H728" s="1" t="s">
        <v>279</v>
      </c>
      <c r="I728" s="1" t="s">
        <v>172</v>
      </c>
      <c r="J728" s="1" t="s">
        <v>125</v>
      </c>
      <c r="K728" s="1" t="s">
        <v>109</v>
      </c>
      <c r="L728" s="1">
        <v>2553215</v>
      </c>
      <c r="M728" s="1" t="s">
        <v>914</v>
      </c>
      <c r="N728" s="5">
        <f t="shared" si="273"/>
        <v>43398</v>
      </c>
      <c r="O728" s="5">
        <f t="shared" si="274"/>
        <v>44858</v>
      </c>
      <c r="P728" s="5">
        <f t="shared" si="253"/>
        <v>45953</v>
      </c>
      <c r="Q728" s="1">
        <v>3470</v>
      </c>
      <c r="R728" s="1">
        <v>3200</v>
      </c>
      <c r="S728" s="1">
        <f t="shared" si="254"/>
        <v>3200</v>
      </c>
      <c r="T728" s="1">
        <v>2.5</v>
      </c>
      <c r="U728" s="1" t="str">
        <f t="shared" si="255"/>
        <v>SIM</v>
      </c>
      <c r="V728" s="1">
        <f t="shared" si="256"/>
        <v>1461</v>
      </c>
      <c r="W728" s="4">
        <f t="shared" si="257"/>
        <v>2.1902806297056809</v>
      </c>
      <c r="X728" s="4">
        <f t="shared" si="258"/>
        <v>799.45242984257357</v>
      </c>
      <c r="Y728" s="4">
        <f t="shared" si="259"/>
        <v>0.99931553730321698</v>
      </c>
      <c r="AB728" s="5">
        <f t="shared" si="260"/>
        <v>45292</v>
      </c>
      <c r="AC728" s="5">
        <f t="shared" si="261"/>
        <v>45657</v>
      </c>
      <c r="AD728" s="1">
        <v>29</v>
      </c>
      <c r="AE728" s="1">
        <f t="shared" si="262"/>
        <v>0</v>
      </c>
      <c r="AF728" s="1">
        <f t="shared" si="263"/>
        <v>0</v>
      </c>
      <c r="AG728" s="1">
        <f t="shared" si="264"/>
        <v>0</v>
      </c>
      <c r="AH728" s="1">
        <f t="shared" si="265"/>
        <v>0</v>
      </c>
      <c r="AI728" s="1">
        <f t="shared" si="266"/>
        <v>183</v>
      </c>
      <c r="AJ728" s="3">
        <f t="shared" si="267"/>
        <v>0.5</v>
      </c>
      <c r="AK728" s="3">
        <f t="shared" si="268"/>
        <v>0.49965776865160849</v>
      </c>
      <c r="AL728" s="3">
        <f t="shared" si="269"/>
        <v>7.2450376454483232</v>
      </c>
      <c r="AM728" s="3">
        <f t="shared" si="270"/>
        <v>18.112594113620808</v>
      </c>
      <c r="AN728" s="3">
        <f t="shared" si="271"/>
        <v>0</v>
      </c>
      <c r="AO728" s="3">
        <f t="shared" si="272"/>
        <v>18.112594113620808</v>
      </c>
      <c r="AP728" s="1" t="str">
        <f>INDEX({"EAD";"EAD";"EAD";"EAD MOOC";"EAD";"EAD";"EAD FP";"EAD";"PRESENCIAL";"PRESENCIAL";"PRESENCIAL";"PRESENCIAL"}, MATCH(CONCATENATE(E728, ".", F728),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29" spans="1:42" x14ac:dyDescent="0.25">
      <c r="A729" s="1" t="s">
        <v>27</v>
      </c>
      <c r="B729" s="1" t="s">
        <v>43</v>
      </c>
      <c r="C729" s="1" t="s">
        <v>29</v>
      </c>
      <c r="D729" s="1" t="s">
        <v>45</v>
      </c>
      <c r="E729" s="1" t="s">
        <v>170</v>
      </c>
      <c r="F729" s="1" t="s">
        <v>510</v>
      </c>
      <c r="G729" s="1" t="s">
        <v>278</v>
      </c>
      <c r="H729" s="1" t="s">
        <v>279</v>
      </c>
      <c r="I729" s="1" t="s">
        <v>172</v>
      </c>
      <c r="J729" s="1" t="s">
        <v>125</v>
      </c>
      <c r="K729" s="1" t="s">
        <v>109</v>
      </c>
      <c r="L729" s="1">
        <v>2553219</v>
      </c>
      <c r="M729" s="1" t="s">
        <v>914</v>
      </c>
      <c r="N729" s="5">
        <f t="shared" si="273"/>
        <v>43398</v>
      </c>
      <c r="O729" s="5">
        <f t="shared" si="274"/>
        <v>44858</v>
      </c>
      <c r="P729" s="5">
        <f t="shared" si="253"/>
        <v>45953</v>
      </c>
      <c r="Q729" s="1">
        <v>3470</v>
      </c>
      <c r="R729" s="1">
        <v>3200</v>
      </c>
      <c r="S729" s="1">
        <f t="shared" si="254"/>
        <v>3200</v>
      </c>
      <c r="T729" s="1">
        <v>2.5</v>
      </c>
      <c r="U729" s="1" t="str">
        <f t="shared" si="255"/>
        <v>SIM</v>
      </c>
      <c r="V729" s="1">
        <f t="shared" si="256"/>
        <v>1461</v>
      </c>
      <c r="W729" s="4">
        <f t="shared" si="257"/>
        <v>2.1902806297056809</v>
      </c>
      <c r="X729" s="4">
        <f t="shared" si="258"/>
        <v>799.45242984257357</v>
      </c>
      <c r="Y729" s="4">
        <f t="shared" si="259"/>
        <v>0.99931553730321698</v>
      </c>
      <c r="AB729" s="5">
        <f t="shared" si="260"/>
        <v>45292</v>
      </c>
      <c r="AC729" s="5">
        <f t="shared" si="261"/>
        <v>45657</v>
      </c>
      <c r="AD729" s="1">
        <v>18</v>
      </c>
      <c r="AE729" s="1">
        <f t="shared" si="262"/>
        <v>0</v>
      </c>
      <c r="AF729" s="1">
        <f t="shared" si="263"/>
        <v>0</v>
      </c>
      <c r="AG729" s="1">
        <f t="shared" si="264"/>
        <v>0</v>
      </c>
      <c r="AH729" s="1">
        <f t="shared" si="265"/>
        <v>0</v>
      </c>
      <c r="AI729" s="1">
        <f t="shared" si="266"/>
        <v>183</v>
      </c>
      <c r="AJ729" s="3">
        <f t="shared" si="267"/>
        <v>0.5</v>
      </c>
      <c r="AK729" s="3">
        <f t="shared" si="268"/>
        <v>0.49965776865160849</v>
      </c>
      <c r="AL729" s="3">
        <f t="shared" si="269"/>
        <v>4.4969199178644761</v>
      </c>
      <c r="AM729" s="3">
        <f t="shared" si="270"/>
        <v>11.242299794661189</v>
      </c>
      <c r="AN729" s="3">
        <f t="shared" si="271"/>
        <v>0</v>
      </c>
      <c r="AO729" s="3">
        <f t="shared" si="272"/>
        <v>11.242299794661189</v>
      </c>
      <c r="AP729" s="1" t="str">
        <f>INDEX({"EAD";"EAD";"EAD";"EAD MOOC";"EAD";"EAD";"EAD FP";"EAD";"PRESENCIAL";"PRESENCIAL";"PRESENCIAL";"PRESENCIAL"}, MATCH(CONCATENATE(E729, ".", F729),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30" spans="1:42" x14ac:dyDescent="0.25">
      <c r="A730" s="1" t="s">
        <v>27</v>
      </c>
      <c r="B730" s="1" t="s">
        <v>43</v>
      </c>
      <c r="C730" s="1" t="s">
        <v>29</v>
      </c>
      <c r="D730" s="1" t="s">
        <v>45</v>
      </c>
      <c r="E730" s="1" t="s">
        <v>170</v>
      </c>
      <c r="F730" s="1" t="s">
        <v>510</v>
      </c>
      <c r="G730" s="1" t="s">
        <v>278</v>
      </c>
      <c r="H730" s="1" t="s">
        <v>279</v>
      </c>
      <c r="I730" s="1" t="s">
        <v>172</v>
      </c>
      <c r="J730" s="1" t="s">
        <v>125</v>
      </c>
      <c r="K730" s="1" t="s">
        <v>109</v>
      </c>
      <c r="L730" s="1">
        <v>2553220</v>
      </c>
      <c r="M730" s="1" t="s">
        <v>914</v>
      </c>
      <c r="N730" s="5">
        <f t="shared" si="273"/>
        <v>43398</v>
      </c>
      <c r="O730" s="5">
        <f t="shared" si="274"/>
        <v>44858</v>
      </c>
      <c r="P730" s="5">
        <f t="shared" si="253"/>
        <v>45953</v>
      </c>
      <c r="Q730" s="1">
        <v>3470</v>
      </c>
      <c r="R730" s="1">
        <v>3200</v>
      </c>
      <c r="S730" s="1">
        <f t="shared" si="254"/>
        <v>3200</v>
      </c>
      <c r="T730" s="1">
        <v>2.5</v>
      </c>
      <c r="U730" s="1" t="str">
        <f t="shared" si="255"/>
        <v>SIM</v>
      </c>
      <c r="V730" s="1">
        <f t="shared" si="256"/>
        <v>1461</v>
      </c>
      <c r="W730" s="4">
        <f t="shared" si="257"/>
        <v>2.1902806297056809</v>
      </c>
      <c r="X730" s="4">
        <f t="shared" si="258"/>
        <v>799.45242984257357</v>
      </c>
      <c r="Y730" s="4">
        <f t="shared" si="259"/>
        <v>0.99931553730321698</v>
      </c>
      <c r="AB730" s="5">
        <f t="shared" si="260"/>
        <v>45292</v>
      </c>
      <c r="AC730" s="5">
        <f t="shared" si="261"/>
        <v>45657</v>
      </c>
      <c r="AD730" s="1">
        <v>17</v>
      </c>
      <c r="AE730" s="1">
        <f t="shared" si="262"/>
        <v>0</v>
      </c>
      <c r="AF730" s="1">
        <f t="shared" si="263"/>
        <v>0</v>
      </c>
      <c r="AG730" s="1">
        <f t="shared" si="264"/>
        <v>0</v>
      </c>
      <c r="AH730" s="1">
        <f t="shared" si="265"/>
        <v>0</v>
      </c>
      <c r="AI730" s="1">
        <f t="shared" si="266"/>
        <v>183</v>
      </c>
      <c r="AJ730" s="3">
        <f t="shared" si="267"/>
        <v>0.5</v>
      </c>
      <c r="AK730" s="3">
        <f t="shared" si="268"/>
        <v>0.49965776865160849</v>
      </c>
      <c r="AL730" s="3">
        <f t="shared" si="269"/>
        <v>4.2470910335386725</v>
      </c>
      <c r="AM730" s="3">
        <f t="shared" si="270"/>
        <v>10.617727583846682</v>
      </c>
      <c r="AN730" s="3">
        <f t="shared" si="271"/>
        <v>0</v>
      </c>
      <c r="AO730" s="3">
        <f t="shared" si="272"/>
        <v>10.617727583846682</v>
      </c>
      <c r="AP730" s="1" t="str">
        <f>INDEX({"EAD";"EAD";"EAD";"EAD MOOC";"EAD";"EAD";"EAD FP";"EAD";"PRESENCIAL";"PRESENCIAL";"PRESENCIAL";"PRESENCIAL"}, MATCH(CONCATENATE(E730, ".", F730),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31" spans="1:42" x14ac:dyDescent="0.25">
      <c r="A731" s="1" t="s">
        <v>27</v>
      </c>
      <c r="B731" s="1" t="s">
        <v>43</v>
      </c>
      <c r="C731" s="1" t="s">
        <v>29</v>
      </c>
      <c r="D731" s="1" t="s">
        <v>45</v>
      </c>
      <c r="E731" s="1" t="s">
        <v>120</v>
      </c>
      <c r="F731" s="1" t="s">
        <v>21</v>
      </c>
      <c r="G731" s="1" t="s">
        <v>140</v>
      </c>
      <c r="H731" s="1" t="s">
        <v>865</v>
      </c>
      <c r="I731" s="1" t="s">
        <v>224</v>
      </c>
      <c r="J731" s="1" t="s">
        <v>125</v>
      </c>
      <c r="K731" s="1" t="s">
        <v>109</v>
      </c>
      <c r="L731" s="1">
        <v>2576008</v>
      </c>
      <c r="M731" s="1" t="s">
        <v>915</v>
      </c>
      <c r="N731" s="5">
        <f>DATE(2019,2,4)</f>
        <v>43500</v>
      </c>
      <c r="O731" s="5">
        <f>DATE(2022,2,3)</f>
        <v>44595</v>
      </c>
      <c r="P731" s="5">
        <f t="shared" si="253"/>
        <v>45690</v>
      </c>
      <c r="Q731" s="1">
        <v>2160</v>
      </c>
      <c r="R731" s="1">
        <v>1600</v>
      </c>
      <c r="S731" s="1">
        <f t="shared" si="254"/>
        <v>1600</v>
      </c>
      <c r="T731" s="1">
        <v>1</v>
      </c>
      <c r="U731" s="1" t="str">
        <f t="shared" si="255"/>
        <v>SIM</v>
      </c>
      <c r="V731" s="1">
        <f t="shared" si="256"/>
        <v>1096</v>
      </c>
      <c r="W731" s="4">
        <f t="shared" si="257"/>
        <v>1.4598540145985401</v>
      </c>
      <c r="X731" s="4">
        <f t="shared" si="258"/>
        <v>532.8467153284671</v>
      </c>
      <c r="Y731" s="4">
        <f t="shared" si="259"/>
        <v>0.66605839416058388</v>
      </c>
      <c r="AB731" s="5">
        <f t="shared" si="260"/>
        <v>45292</v>
      </c>
      <c r="AC731" s="5">
        <f t="shared" si="261"/>
        <v>45657</v>
      </c>
      <c r="AD731" s="1">
        <v>4</v>
      </c>
      <c r="AE731" s="1">
        <f t="shared" si="262"/>
        <v>0</v>
      </c>
      <c r="AF731" s="1">
        <f t="shared" si="263"/>
        <v>0</v>
      </c>
      <c r="AG731" s="1">
        <f t="shared" si="264"/>
        <v>0</v>
      </c>
      <c r="AH731" s="1">
        <f t="shared" si="265"/>
        <v>0</v>
      </c>
      <c r="AI731" s="1">
        <f t="shared" si="266"/>
        <v>183</v>
      </c>
      <c r="AJ731" s="3">
        <f t="shared" si="267"/>
        <v>0.5</v>
      </c>
      <c r="AK731" s="3">
        <f t="shared" si="268"/>
        <v>0.33302919708029194</v>
      </c>
      <c r="AL731" s="3">
        <f t="shared" si="269"/>
        <v>0.66605839416058388</v>
      </c>
      <c r="AM731" s="3">
        <f t="shared" si="270"/>
        <v>0.66605839416058388</v>
      </c>
      <c r="AN731" s="3">
        <f t="shared" si="271"/>
        <v>0</v>
      </c>
      <c r="AO731" s="3">
        <f t="shared" si="272"/>
        <v>0.66605839416058388</v>
      </c>
      <c r="AP731" s="1" t="str">
        <f>INDEX({"EAD";"EAD";"EAD";"EAD MOOC";"EAD";"EAD";"EAD FP";"EAD";"PRESENCIAL";"PRESENCIAL";"PRESENCIAL";"PRESENCIAL"}, MATCH(CONCATENATE(E731, ".", F731),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32" spans="1:42" x14ac:dyDescent="0.25">
      <c r="A732" s="1" t="s">
        <v>27</v>
      </c>
      <c r="B732" s="1" t="s">
        <v>43</v>
      </c>
      <c r="C732" s="1" t="s">
        <v>29</v>
      </c>
      <c r="D732" s="1" t="s">
        <v>45</v>
      </c>
      <c r="E732" s="1" t="s">
        <v>120</v>
      </c>
      <c r="F732" s="1" t="s">
        <v>21</v>
      </c>
      <c r="G732" s="1" t="s">
        <v>121</v>
      </c>
      <c r="H732" s="1" t="s">
        <v>869</v>
      </c>
      <c r="I732" s="1" t="s">
        <v>228</v>
      </c>
      <c r="J732" s="1" t="s">
        <v>125</v>
      </c>
      <c r="K732" s="1" t="s">
        <v>109</v>
      </c>
      <c r="L732" s="1">
        <v>2576010</v>
      </c>
      <c r="M732" s="1" t="s">
        <v>916</v>
      </c>
      <c r="N732" s="5">
        <f>DATE(2019,2,4)</f>
        <v>43500</v>
      </c>
      <c r="O732" s="5">
        <f>DATE(2024,2,3)</f>
        <v>45325</v>
      </c>
      <c r="P732" s="5">
        <f t="shared" si="253"/>
        <v>46420</v>
      </c>
      <c r="Q732" s="1">
        <v>4020</v>
      </c>
      <c r="R732" s="1">
        <v>3600</v>
      </c>
      <c r="S732" s="1">
        <f t="shared" si="254"/>
        <v>3600</v>
      </c>
      <c r="T732" s="1">
        <v>2.5</v>
      </c>
      <c r="U732" s="1" t="str">
        <f t="shared" si="255"/>
        <v>SIM</v>
      </c>
      <c r="V732" s="1">
        <f t="shared" si="256"/>
        <v>1826</v>
      </c>
      <c r="W732" s="4">
        <f t="shared" si="257"/>
        <v>1.9715224534501643</v>
      </c>
      <c r="X732" s="4">
        <f t="shared" si="258"/>
        <v>719.60569550930995</v>
      </c>
      <c r="Y732" s="4">
        <f t="shared" si="259"/>
        <v>0.89950711938663741</v>
      </c>
      <c r="AB732" s="5">
        <f t="shared" si="260"/>
        <v>45292</v>
      </c>
      <c r="AC732" s="5">
        <f t="shared" si="261"/>
        <v>45657</v>
      </c>
      <c r="AD732" s="1">
        <v>12</v>
      </c>
      <c r="AE732" s="1">
        <f t="shared" si="262"/>
        <v>0</v>
      </c>
      <c r="AF732" s="1">
        <f t="shared" si="263"/>
        <v>0</v>
      </c>
      <c r="AG732" s="1">
        <f t="shared" si="264"/>
        <v>34</v>
      </c>
      <c r="AH732" s="1">
        <f t="shared" si="265"/>
        <v>0</v>
      </c>
      <c r="AI732" s="1">
        <f t="shared" si="266"/>
        <v>0</v>
      </c>
      <c r="AJ732" s="3">
        <f t="shared" si="267"/>
        <v>9.2896174863387984E-2</v>
      </c>
      <c r="AK732" s="3">
        <f t="shared" si="268"/>
        <v>8.3560770653403477E-2</v>
      </c>
      <c r="AL732" s="3">
        <f t="shared" si="269"/>
        <v>1.0027292478408416</v>
      </c>
      <c r="AM732" s="3">
        <f t="shared" si="270"/>
        <v>2.506823119602104</v>
      </c>
      <c r="AN732" s="3">
        <f t="shared" si="271"/>
        <v>0</v>
      </c>
      <c r="AO732" s="3">
        <f t="shared" si="272"/>
        <v>2.506823119602104</v>
      </c>
      <c r="AP732" s="1" t="str">
        <f>INDEX({"EAD";"EAD";"EAD";"EAD MOOC";"EAD";"EAD";"EAD FP";"EAD";"PRESENCIAL";"PRESENCIAL";"PRESENCIAL";"PRESENCIAL"}, MATCH(CONCATENATE(E732, ".", F732),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33" spans="1:42" x14ac:dyDescent="0.25">
      <c r="A733" s="1" t="s">
        <v>27</v>
      </c>
      <c r="B733" s="1" t="s">
        <v>43</v>
      </c>
      <c r="C733" s="1" t="s">
        <v>29</v>
      </c>
      <c r="D733" s="1" t="s">
        <v>45</v>
      </c>
      <c r="E733" s="1" t="s">
        <v>120</v>
      </c>
      <c r="F733" s="1" t="s">
        <v>21</v>
      </c>
      <c r="G733" s="1" t="s">
        <v>128</v>
      </c>
      <c r="H733" s="1" t="s">
        <v>227</v>
      </c>
      <c r="I733" s="1" t="s">
        <v>228</v>
      </c>
      <c r="J733" s="1" t="s">
        <v>125</v>
      </c>
      <c r="K733" s="1" t="s">
        <v>163</v>
      </c>
      <c r="L733" s="1">
        <v>2576013</v>
      </c>
      <c r="M733" s="1" t="s">
        <v>917</v>
      </c>
      <c r="N733" s="5">
        <f>DATE(2019,2,4)</f>
        <v>43500</v>
      </c>
      <c r="O733" s="5">
        <f>DATE(2021,2,3)</f>
        <v>44230</v>
      </c>
      <c r="P733" s="5">
        <f t="shared" si="253"/>
        <v>45325</v>
      </c>
      <c r="Q733" s="1">
        <v>1411</v>
      </c>
      <c r="R733" s="1">
        <v>1200</v>
      </c>
      <c r="S733" s="1">
        <f t="shared" si="254"/>
        <v>1200</v>
      </c>
      <c r="T733" s="1">
        <v>2.5</v>
      </c>
      <c r="U733" s="1" t="str">
        <f t="shared" si="255"/>
        <v>SIM</v>
      </c>
      <c r="V733" s="1">
        <f t="shared" si="256"/>
        <v>731</v>
      </c>
      <c r="W733" s="4">
        <f t="shared" si="257"/>
        <v>1.6415868673050615</v>
      </c>
      <c r="X733" s="4">
        <f t="shared" si="258"/>
        <v>599.17920656634749</v>
      </c>
      <c r="Y733" s="4">
        <f t="shared" si="259"/>
        <v>0.74897400820793436</v>
      </c>
      <c r="AB733" s="5">
        <f t="shared" si="260"/>
        <v>45292</v>
      </c>
      <c r="AC733" s="5">
        <f t="shared" si="261"/>
        <v>45657</v>
      </c>
      <c r="AD733" s="1">
        <v>6</v>
      </c>
      <c r="AE733" s="1">
        <f t="shared" si="262"/>
        <v>0</v>
      </c>
      <c r="AF733" s="1">
        <f t="shared" si="263"/>
        <v>0</v>
      </c>
      <c r="AG733" s="1">
        <f t="shared" si="264"/>
        <v>0</v>
      </c>
      <c r="AH733" s="1">
        <f t="shared" si="265"/>
        <v>0</v>
      </c>
      <c r="AI733" s="1">
        <f t="shared" si="266"/>
        <v>183</v>
      </c>
      <c r="AJ733" s="3">
        <f t="shared" si="267"/>
        <v>0.5</v>
      </c>
      <c r="AK733" s="3">
        <f t="shared" si="268"/>
        <v>0.37448700410396718</v>
      </c>
      <c r="AL733" s="3">
        <f t="shared" si="269"/>
        <v>1.1234610123119015</v>
      </c>
      <c r="AM733" s="3">
        <f t="shared" si="270"/>
        <v>2.8086525307797539</v>
      </c>
      <c r="AN733" s="3">
        <f t="shared" si="271"/>
        <v>0</v>
      </c>
      <c r="AO733" s="3">
        <f t="shared" si="272"/>
        <v>2.8086525307797539</v>
      </c>
      <c r="AP733" s="1" t="str">
        <f>INDEX({"EAD";"EAD";"EAD";"EAD MOOC";"EAD";"EAD";"EAD FP";"EAD";"PRESENCIAL";"PRESENCIAL";"PRESENCIAL";"PRESENCIAL"}, MATCH(CONCATENATE(E733, ".", F733),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34" spans="1:42" x14ac:dyDescent="0.25">
      <c r="A734" s="1" t="s">
        <v>27</v>
      </c>
      <c r="B734" s="1" t="s">
        <v>43</v>
      </c>
      <c r="C734" s="1" t="s">
        <v>29</v>
      </c>
      <c r="D734" s="1" t="s">
        <v>45</v>
      </c>
      <c r="E734" s="1" t="s">
        <v>120</v>
      </c>
      <c r="F734" s="1" t="s">
        <v>21</v>
      </c>
      <c r="G734" s="1" t="s">
        <v>128</v>
      </c>
      <c r="H734" s="1" t="s">
        <v>890</v>
      </c>
      <c r="I734" s="1" t="s">
        <v>191</v>
      </c>
      <c r="J734" s="1" t="s">
        <v>125</v>
      </c>
      <c r="K734" s="1" t="s">
        <v>163</v>
      </c>
      <c r="L734" s="1">
        <v>2576014</v>
      </c>
      <c r="M734" s="1" t="s">
        <v>918</v>
      </c>
      <c r="N734" s="5">
        <f>DATE(2019,2,4)</f>
        <v>43500</v>
      </c>
      <c r="O734" s="5">
        <f>DATE(2021,2,3)</f>
        <v>44230</v>
      </c>
      <c r="P734" s="5">
        <f t="shared" si="253"/>
        <v>45325</v>
      </c>
      <c r="Q734" s="1">
        <v>1343</v>
      </c>
      <c r="R734" s="1">
        <v>1200</v>
      </c>
      <c r="S734" s="1">
        <f t="shared" si="254"/>
        <v>1200</v>
      </c>
      <c r="T734" s="1">
        <v>2.5</v>
      </c>
      <c r="U734" s="1" t="str">
        <f t="shared" si="255"/>
        <v>SIM</v>
      </c>
      <c r="V734" s="1">
        <f t="shared" si="256"/>
        <v>731</v>
      </c>
      <c r="W734" s="4">
        <f t="shared" si="257"/>
        <v>1.6415868673050615</v>
      </c>
      <c r="X734" s="4">
        <f t="shared" si="258"/>
        <v>599.17920656634749</v>
      </c>
      <c r="Y734" s="4">
        <f t="shared" si="259"/>
        <v>0.74897400820793436</v>
      </c>
      <c r="AB734" s="5">
        <f t="shared" si="260"/>
        <v>45292</v>
      </c>
      <c r="AC734" s="5">
        <f t="shared" si="261"/>
        <v>45657</v>
      </c>
      <c r="AD734" s="1">
        <v>1</v>
      </c>
      <c r="AE734" s="1">
        <f t="shared" si="262"/>
        <v>0</v>
      </c>
      <c r="AF734" s="1">
        <f t="shared" si="263"/>
        <v>0</v>
      </c>
      <c r="AG734" s="1">
        <f t="shared" si="264"/>
        <v>0</v>
      </c>
      <c r="AH734" s="1">
        <f t="shared" si="265"/>
        <v>0</v>
      </c>
      <c r="AI734" s="1">
        <f t="shared" si="266"/>
        <v>183</v>
      </c>
      <c r="AJ734" s="3">
        <f t="shared" si="267"/>
        <v>0.5</v>
      </c>
      <c r="AK734" s="3">
        <f t="shared" si="268"/>
        <v>0.37448700410396718</v>
      </c>
      <c r="AL734" s="3">
        <f t="shared" si="269"/>
        <v>0.18724350205198359</v>
      </c>
      <c r="AM734" s="3">
        <f t="shared" si="270"/>
        <v>0.46810875512995898</v>
      </c>
      <c r="AN734" s="3">
        <f t="shared" si="271"/>
        <v>0</v>
      </c>
      <c r="AO734" s="3">
        <f t="shared" si="272"/>
        <v>0.46810875512995898</v>
      </c>
      <c r="AP734" s="1" t="str">
        <f>INDEX({"EAD";"EAD";"EAD";"EAD MOOC";"EAD";"EAD";"EAD FP";"EAD";"PRESENCIAL";"PRESENCIAL";"PRESENCIAL";"PRESENCIAL"}, MATCH(CONCATENATE(E734, ".", F734),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35" spans="1:42" x14ac:dyDescent="0.25">
      <c r="A735" s="1" t="s">
        <v>27</v>
      </c>
      <c r="B735" s="1" t="s">
        <v>43</v>
      </c>
      <c r="C735" s="1" t="s">
        <v>29</v>
      </c>
      <c r="D735" s="1" t="s">
        <v>45</v>
      </c>
      <c r="E735" s="1" t="s">
        <v>120</v>
      </c>
      <c r="F735" s="1" t="s">
        <v>21</v>
      </c>
      <c r="G735" s="1" t="s">
        <v>727</v>
      </c>
      <c r="H735" s="1" t="s">
        <v>919</v>
      </c>
      <c r="I735" s="1" t="s">
        <v>224</v>
      </c>
      <c r="J735" s="1" t="s">
        <v>125</v>
      </c>
      <c r="K735" s="1" t="s">
        <v>109</v>
      </c>
      <c r="L735" s="1">
        <v>2589367</v>
      </c>
      <c r="M735" s="1" t="s">
        <v>920</v>
      </c>
      <c r="N735" s="5">
        <f>DATE(2019,3,18)</f>
        <v>43542</v>
      </c>
      <c r="O735" s="5">
        <f>DATE(2020,12,18)</f>
        <v>44183</v>
      </c>
      <c r="P735" s="5">
        <f t="shared" si="253"/>
        <v>45278</v>
      </c>
      <c r="Q735" s="1">
        <v>360</v>
      </c>
      <c r="R735" s="1">
        <v>360</v>
      </c>
      <c r="S735" s="1">
        <f t="shared" si="254"/>
        <v>360</v>
      </c>
      <c r="T735" s="1">
        <v>3.75</v>
      </c>
      <c r="U735" s="1" t="str">
        <f t="shared" si="255"/>
        <v>NÃO</v>
      </c>
      <c r="V735" s="1">
        <f t="shared" si="256"/>
        <v>642</v>
      </c>
      <c r="W735" s="4">
        <f t="shared" si="257"/>
        <v>0.56074766355140182</v>
      </c>
      <c r="X735" s="4">
        <f t="shared" si="258"/>
        <v>204.67289719626166</v>
      </c>
      <c r="Y735" s="4">
        <f t="shared" si="259"/>
        <v>0.25584112149532706</v>
      </c>
      <c r="AB735" s="5">
        <f t="shared" si="260"/>
        <v>45292</v>
      </c>
      <c r="AC735" s="5">
        <f t="shared" si="261"/>
        <v>45657</v>
      </c>
      <c r="AE735" s="1">
        <f t="shared" si="262"/>
        <v>0</v>
      </c>
      <c r="AF735" s="1">
        <f t="shared" si="263"/>
        <v>0</v>
      </c>
      <c r="AG735" s="1">
        <f t="shared" si="264"/>
        <v>0</v>
      </c>
      <c r="AH735" s="1">
        <f t="shared" si="265"/>
        <v>0</v>
      </c>
      <c r="AI735" s="1">
        <f t="shared" si="266"/>
        <v>183</v>
      </c>
      <c r="AJ735" s="3">
        <f t="shared" si="267"/>
        <v>0.5</v>
      </c>
      <c r="AK735" s="3">
        <f t="shared" si="268"/>
        <v>0.12792056074766353</v>
      </c>
      <c r="AL735" s="3">
        <f t="shared" si="269"/>
        <v>0</v>
      </c>
      <c r="AM735" s="3">
        <f t="shared" si="270"/>
        <v>0</v>
      </c>
      <c r="AN735" s="3">
        <f t="shared" si="271"/>
        <v>0</v>
      </c>
      <c r="AO735" s="3">
        <f t="shared" si="272"/>
        <v>0</v>
      </c>
      <c r="AP735" s="1" t="str">
        <f>INDEX({"EAD";"EAD";"EAD";"EAD MOOC";"EAD";"EAD";"EAD FP";"EAD";"PRESENCIAL";"PRESENCIAL";"PRESENCIAL";"PRESENCIAL"}, MATCH(CONCATENATE(E735, ".", F735),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36" spans="1:42" x14ac:dyDescent="0.25">
      <c r="A736" s="1" t="s">
        <v>27</v>
      </c>
      <c r="B736" s="1" t="s">
        <v>43</v>
      </c>
      <c r="C736" s="1" t="s">
        <v>29</v>
      </c>
      <c r="D736" s="1" t="s">
        <v>45</v>
      </c>
      <c r="E736" s="1" t="s">
        <v>120</v>
      </c>
      <c r="F736" s="1" t="s">
        <v>21</v>
      </c>
      <c r="G736" s="1" t="s">
        <v>121</v>
      </c>
      <c r="H736" s="1" t="s">
        <v>869</v>
      </c>
      <c r="I736" s="1" t="s">
        <v>228</v>
      </c>
      <c r="J736" s="1" t="s">
        <v>125</v>
      </c>
      <c r="K736" s="1" t="s">
        <v>109</v>
      </c>
      <c r="L736" s="1">
        <v>2618581</v>
      </c>
      <c r="M736" s="1" t="s">
        <v>921</v>
      </c>
      <c r="N736" s="5">
        <f>DATE(2019,7,24)</f>
        <v>43670</v>
      </c>
      <c r="O736" s="5">
        <f>DATE(2023,6,30)</f>
        <v>45107</v>
      </c>
      <c r="P736" s="5">
        <f t="shared" si="253"/>
        <v>46202</v>
      </c>
      <c r="Q736" s="1">
        <v>4020</v>
      </c>
      <c r="R736" s="1">
        <v>3600</v>
      </c>
      <c r="S736" s="1">
        <f t="shared" si="254"/>
        <v>3600</v>
      </c>
      <c r="T736" s="1">
        <v>2.5</v>
      </c>
      <c r="U736" s="1" t="str">
        <f t="shared" si="255"/>
        <v>SIM</v>
      </c>
      <c r="V736" s="1">
        <f t="shared" si="256"/>
        <v>1438</v>
      </c>
      <c r="W736" s="4">
        <f t="shared" si="257"/>
        <v>2.5034770514603615</v>
      </c>
      <c r="X736" s="4">
        <f t="shared" si="258"/>
        <v>913.76912378303189</v>
      </c>
      <c r="Y736" s="4">
        <f t="shared" si="259"/>
        <v>1.1422114047287899</v>
      </c>
      <c r="AB736" s="5">
        <f t="shared" si="260"/>
        <v>45292</v>
      </c>
      <c r="AC736" s="5">
        <f t="shared" si="261"/>
        <v>45657</v>
      </c>
      <c r="AD736" s="1">
        <v>5</v>
      </c>
      <c r="AE736" s="1">
        <f t="shared" si="262"/>
        <v>0</v>
      </c>
      <c r="AF736" s="1">
        <f t="shared" si="263"/>
        <v>0</v>
      </c>
      <c r="AG736" s="1">
        <f t="shared" si="264"/>
        <v>0</v>
      </c>
      <c r="AH736" s="1">
        <f t="shared" si="265"/>
        <v>0</v>
      </c>
      <c r="AI736" s="1">
        <f t="shared" si="266"/>
        <v>183</v>
      </c>
      <c r="AJ736" s="3">
        <f t="shared" si="267"/>
        <v>0.5</v>
      </c>
      <c r="AK736" s="3">
        <f t="shared" si="268"/>
        <v>0.57110570236439495</v>
      </c>
      <c r="AL736" s="3">
        <f t="shared" si="269"/>
        <v>1.4277642559109873</v>
      </c>
      <c r="AM736" s="3">
        <f t="shared" si="270"/>
        <v>3.5694106397774683</v>
      </c>
      <c r="AN736" s="3">
        <f t="shared" si="271"/>
        <v>0</v>
      </c>
      <c r="AO736" s="3">
        <f t="shared" si="272"/>
        <v>3.5694106397774683</v>
      </c>
      <c r="AP736" s="1" t="str">
        <f>INDEX({"EAD";"EAD";"EAD";"EAD MOOC";"EAD";"EAD";"EAD FP";"EAD";"PRESENCIAL";"PRESENCIAL";"PRESENCIAL";"PRESENCIAL"}, MATCH(CONCATENATE(E736, ".", F736),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37" spans="1:42" x14ac:dyDescent="0.25">
      <c r="A737" s="1" t="s">
        <v>27</v>
      </c>
      <c r="B737" s="1" t="s">
        <v>43</v>
      </c>
      <c r="C737" s="1" t="s">
        <v>29</v>
      </c>
      <c r="D737" s="1" t="s">
        <v>45</v>
      </c>
      <c r="E737" s="1" t="s">
        <v>120</v>
      </c>
      <c r="F737" s="1" t="s">
        <v>21</v>
      </c>
      <c r="G737" s="1" t="s">
        <v>128</v>
      </c>
      <c r="H737" s="1" t="s">
        <v>890</v>
      </c>
      <c r="I737" s="1" t="s">
        <v>191</v>
      </c>
      <c r="J737" s="1" t="s">
        <v>125</v>
      </c>
      <c r="K737" s="1" t="s">
        <v>130</v>
      </c>
      <c r="L737" s="1">
        <v>2618689</v>
      </c>
      <c r="M737" s="1" t="s">
        <v>922</v>
      </c>
      <c r="N737" s="5">
        <f>DATE(2019,7,24)</f>
        <v>43670</v>
      </c>
      <c r="O737" s="5">
        <f>DATE(2023,6,30)</f>
        <v>45107</v>
      </c>
      <c r="P737" s="5">
        <f t="shared" si="253"/>
        <v>46202</v>
      </c>
      <c r="Q737" s="1">
        <v>3689</v>
      </c>
      <c r="R737" s="1">
        <v>1200</v>
      </c>
      <c r="S737" s="1">
        <f t="shared" si="254"/>
        <v>3200</v>
      </c>
      <c r="T737" s="1">
        <v>2.5</v>
      </c>
      <c r="U737" s="1" t="str">
        <f t="shared" si="255"/>
        <v>SIM</v>
      </c>
      <c r="V737" s="1">
        <f t="shared" si="256"/>
        <v>1438</v>
      </c>
      <c r="W737" s="4">
        <f t="shared" si="257"/>
        <v>2.2253129346314324</v>
      </c>
      <c r="X737" s="4">
        <f t="shared" si="258"/>
        <v>812.23922114047286</v>
      </c>
      <c r="Y737" s="4">
        <f t="shared" si="259"/>
        <v>1.015299026425591</v>
      </c>
      <c r="AB737" s="5">
        <f t="shared" si="260"/>
        <v>45292</v>
      </c>
      <c r="AC737" s="5">
        <f t="shared" si="261"/>
        <v>45657</v>
      </c>
      <c r="AD737" s="1">
        <v>1</v>
      </c>
      <c r="AE737" s="1">
        <f t="shared" si="262"/>
        <v>0</v>
      </c>
      <c r="AF737" s="1">
        <f t="shared" si="263"/>
        <v>0</v>
      </c>
      <c r="AG737" s="1">
        <f t="shared" si="264"/>
        <v>0</v>
      </c>
      <c r="AH737" s="1">
        <f t="shared" si="265"/>
        <v>0</v>
      </c>
      <c r="AI737" s="1">
        <f t="shared" si="266"/>
        <v>183</v>
      </c>
      <c r="AJ737" s="3">
        <f t="shared" si="267"/>
        <v>0.5</v>
      </c>
      <c r="AK737" s="3">
        <f t="shared" si="268"/>
        <v>0.5076495132127955</v>
      </c>
      <c r="AL737" s="3">
        <f t="shared" si="269"/>
        <v>0.25382475660639775</v>
      </c>
      <c r="AM737" s="3">
        <f t="shared" si="270"/>
        <v>0.6345618915159944</v>
      </c>
      <c r="AN737" s="3">
        <f t="shared" si="271"/>
        <v>0</v>
      </c>
      <c r="AO737" s="3">
        <f t="shared" si="272"/>
        <v>0.6345618915159944</v>
      </c>
      <c r="AP737" s="1" t="str">
        <f>INDEX({"EAD";"EAD";"EAD";"EAD MOOC";"EAD";"EAD";"EAD FP";"EAD";"PRESENCIAL";"PRESENCIAL";"PRESENCIAL";"PRESENCIAL"}, MATCH(CONCATENATE(E737, ".", F737),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38" spans="1:42" x14ac:dyDescent="0.25">
      <c r="A738" s="1" t="s">
        <v>27</v>
      </c>
      <c r="B738" s="1" t="s">
        <v>43</v>
      </c>
      <c r="C738" s="1" t="s">
        <v>29</v>
      </c>
      <c r="D738" s="1" t="s">
        <v>45</v>
      </c>
      <c r="E738" s="1" t="s">
        <v>120</v>
      </c>
      <c r="F738" s="1" t="s">
        <v>21</v>
      </c>
      <c r="G738" s="1" t="s">
        <v>128</v>
      </c>
      <c r="H738" s="1" t="s">
        <v>227</v>
      </c>
      <c r="I738" s="1" t="s">
        <v>228</v>
      </c>
      <c r="J738" s="1" t="s">
        <v>125</v>
      </c>
      <c r="K738" s="1" t="s">
        <v>163</v>
      </c>
      <c r="L738" s="1">
        <v>2621665</v>
      </c>
      <c r="M738" s="1" t="s">
        <v>923</v>
      </c>
      <c r="N738" s="5">
        <f>DATE(2019,7,24)</f>
        <v>43670</v>
      </c>
      <c r="O738" s="5">
        <f>DATE(2021,6,25)</f>
        <v>44372</v>
      </c>
      <c r="P738" s="5">
        <f t="shared" si="253"/>
        <v>45467</v>
      </c>
      <c r="Q738" s="1">
        <v>1367</v>
      </c>
      <c r="R738" s="1">
        <v>1200</v>
      </c>
      <c r="S738" s="1">
        <f t="shared" si="254"/>
        <v>1200</v>
      </c>
      <c r="T738" s="1">
        <v>2.5</v>
      </c>
      <c r="U738" s="1" t="str">
        <f t="shared" si="255"/>
        <v>SIM</v>
      </c>
      <c r="V738" s="1">
        <f t="shared" si="256"/>
        <v>703</v>
      </c>
      <c r="W738" s="4">
        <f t="shared" si="257"/>
        <v>1.7069701280227596</v>
      </c>
      <c r="X738" s="4">
        <f t="shared" si="258"/>
        <v>623.0440967283073</v>
      </c>
      <c r="Y738" s="4">
        <f t="shared" si="259"/>
        <v>0.77880512091038412</v>
      </c>
      <c r="AB738" s="5">
        <f t="shared" si="260"/>
        <v>45292</v>
      </c>
      <c r="AC738" s="5">
        <f t="shared" si="261"/>
        <v>45657</v>
      </c>
      <c r="AD738" s="1">
        <v>11</v>
      </c>
      <c r="AE738" s="1">
        <f t="shared" si="262"/>
        <v>0</v>
      </c>
      <c r="AF738" s="1">
        <f t="shared" si="263"/>
        <v>0</v>
      </c>
      <c r="AG738" s="1">
        <f t="shared" si="264"/>
        <v>0</v>
      </c>
      <c r="AH738" s="1">
        <f t="shared" si="265"/>
        <v>0</v>
      </c>
      <c r="AI738" s="1">
        <f t="shared" si="266"/>
        <v>183</v>
      </c>
      <c r="AJ738" s="3">
        <f t="shared" si="267"/>
        <v>0.5</v>
      </c>
      <c r="AK738" s="3">
        <f t="shared" si="268"/>
        <v>0.38940256045519206</v>
      </c>
      <c r="AL738" s="3">
        <f t="shared" si="269"/>
        <v>2.1417140825035563</v>
      </c>
      <c r="AM738" s="3">
        <f t="shared" si="270"/>
        <v>5.3542852062588908</v>
      </c>
      <c r="AN738" s="3">
        <f t="shared" si="271"/>
        <v>0</v>
      </c>
      <c r="AO738" s="3">
        <f t="shared" si="272"/>
        <v>5.3542852062588908</v>
      </c>
      <c r="AP738" s="1" t="str">
        <f>INDEX({"EAD";"EAD";"EAD";"EAD MOOC";"EAD";"EAD";"EAD FP";"EAD";"PRESENCIAL";"PRESENCIAL";"PRESENCIAL";"PRESENCIAL"}, MATCH(CONCATENATE(E738, ".", F738),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39" spans="1:42" x14ac:dyDescent="0.25">
      <c r="A739" s="1" t="s">
        <v>27</v>
      </c>
      <c r="B739" s="1" t="s">
        <v>43</v>
      </c>
      <c r="C739" s="1" t="s">
        <v>29</v>
      </c>
      <c r="D739" s="1" t="s">
        <v>45</v>
      </c>
      <c r="E739" s="1" t="s">
        <v>120</v>
      </c>
      <c r="F739" s="1" t="s">
        <v>21</v>
      </c>
      <c r="G739" s="1" t="s">
        <v>128</v>
      </c>
      <c r="H739" s="1" t="s">
        <v>890</v>
      </c>
      <c r="I739" s="1" t="s">
        <v>191</v>
      </c>
      <c r="J739" s="1" t="s">
        <v>125</v>
      </c>
      <c r="K739" s="1" t="s">
        <v>163</v>
      </c>
      <c r="L739" s="1">
        <v>2621667</v>
      </c>
      <c r="M739" s="1" t="s">
        <v>924</v>
      </c>
      <c r="N739" s="5">
        <f>DATE(2019,7,24)</f>
        <v>43670</v>
      </c>
      <c r="O739" s="5">
        <f>DATE(2021,6,25)</f>
        <v>44372</v>
      </c>
      <c r="P739" s="5">
        <f t="shared" si="253"/>
        <v>45467</v>
      </c>
      <c r="Q739" s="1">
        <v>1343</v>
      </c>
      <c r="R739" s="1">
        <v>1200</v>
      </c>
      <c r="S739" s="1">
        <f t="shared" si="254"/>
        <v>1200</v>
      </c>
      <c r="T739" s="1">
        <v>2.5</v>
      </c>
      <c r="U739" s="1" t="str">
        <f t="shared" si="255"/>
        <v>SIM</v>
      </c>
      <c r="V739" s="1">
        <f t="shared" si="256"/>
        <v>703</v>
      </c>
      <c r="W739" s="4">
        <f t="shared" si="257"/>
        <v>1.7069701280227596</v>
      </c>
      <c r="X739" s="4">
        <f t="shared" si="258"/>
        <v>623.0440967283073</v>
      </c>
      <c r="Y739" s="4">
        <f t="shared" si="259"/>
        <v>0.77880512091038412</v>
      </c>
      <c r="AB739" s="5">
        <f t="shared" si="260"/>
        <v>45292</v>
      </c>
      <c r="AC739" s="5">
        <f t="shared" si="261"/>
        <v>45657</v>
      </c>
      <c r="AD739" s="1">
        <v>3</v>
      </c>
      <c r="AE739" s="1">
        <f t="shared" si="262"/>
        <v>0</v>
      </c>
      <c r="AF739" s="1">
        <f t="shared" si="263"/>
        <v>0</v>
      </c>
      <c r="AG739" s="1">
        <f t="shared" si="264"/>
        <v>0</v>
      </c>
      <c r="AH739" s="1">
        <f t="shared" si="265"/>
        <v>0</v>
      </c>
      <c r="AI739" s="1">
        <f t="shared" si="266"/>
        <v>183</v>
      </c>
      <c r="AJ739" s="3">
        <f t="shared" si="267"/>
        <v>0.5</v>
      </c>
      <c r="AK739" s="3">
        <f t="shared" si="268"/>
        <v>0.38940256045519206</v>
      </c>
      <c r="AL739" s="3">
        <f t="shared" si="269"/>
        <v>0.58410384068278809</v>
      </c>
      <c r="AM739" s="3">
        <f t="shared" si="270"/>
        <v>1.4602596017069702</v>
      </c>
      <c r="AN739" s="3">
        <f t="shared" si="271"/>
        <v>0</v>
      </c>
      <c r="AO739" s="3">
        <f t="shared" si="272"/>
        <v>1.4602596017069702</v>
      </c>
      <c r="AP739" s="1" t="str">
        <f>INDEX({"EAD";"EAD";"EAD";"EAD MOOC";"EAD";"EAD";"EAD FP";"EAD";"PRESENCIAL";"PRESENCIAL";"PRESENCIAL";"PRESENCIAL"}, MATCH(CONCATENATE(E739, ".", F739),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40" spans="1:42" x14ac:dyDescent="0.25">
      <c r="A740" s="1" t="s">
        <v>27</v>
      </c>
      <c r="B740" s="1" t="s">
        <v>43</v>
      </c>
      <c r="C740" s="1" t="s">
        <v>29</v>
      </c>
      <c r="D740" s="1" t="s">
        <v>45</v>
      </c>
      <c r="E740" s="1" t="s">
        <v>120</v>
      </c>
      <c r="F740" s="1" t="s">
        <v>21</v>
      </c>
      <c r="G740" s="1" t="s">
        <v>140</v>
      </c>
      <c r="H740" s="1" t="s">
        <v>865</v>
      </c>
      <c r="I740" s="1" t="s">
        <v>224</v>
      </c>
      <c r="J740" s="1" t="s">
        <v>125</v>
      </c>
      <c r="K740" s="1" t="s">
        <v>109</v>
      </c>
      <c r="L740" s="1">
        <v>2629032</v>
      </c>
      <c r="M740" s="1" t="s">
        <v>925</v>
      </c>
      <c r="N740" s="5">
        <f>DATE(2019,7,24)</f>
        <v>43670</v>
      </c>
      <c r="O740" s="5">
        <f>DATE(2022,7,29)</f>
        <v>44771</v>
      </c>
      <c r="P740" s="5">
        <f t="shared" si="253"/>
        <v>45866</v>
      </c>
      <c r="Q740" s="1">
        <v>2160</v>
      </c>
      <c r="R740" s="1">
        <v>1600</v>
      </c>
      <c r="S740" s="1">
        <f t="shared" si="254"/>
        <v>1600</v>
      </c>
      <c r="T740" s="1">
        <v>1</v>
      </c>
      <c r="U740" s="1" t="str">
        <f t="shared" si="255"/>
        <v>SIM</v>
      </c>
      <c r="V740" s="1">
        <f t="shared" si="256"/>
        <v>1102</v>
      </c>
      <c r="W740" s="4">
        <f t="shared" si="257"/>
        <v>1.4519056261343013</v>
      </c>
      <c r="X740" s="4">
        <f t="shared" si="258"/>
        <v>529.94555353902001</v>
      </c>
      <c r="Y740" s="4">
        <f t="shared" si="259"/>
        <v>0.66243194192377497</v>
      </c>
      <c r="AB740" s="5">
        <f t="shared" si="260"/>
        <v>45292</v>
      </c>
      <c r="AC740" s="5">
        <f t="shared" si="261"/>
        <v>45657</v>
      </c>
      <c r="AD740" s="1">
        <v>7</v>
      </c>
      <c r="AE740" s="1">
        <f t="shared" si="262"/>
        <v>0</v>
      </c>
      <c r="AF740" s="1">
        <f t="shared" si="263"/>
        <v>0</v>
      </c>
      <c r="AG740" s="1">
        <f t="shared" si="264"/>
        <v>0</v>
      </c>
      <c r="AH740" s="1">
        <f t="shared" si="265"/>
        <v>0</v>
      </c>
      <c r="AI740" s="1">
        <f t="shared" si="266"/>
        <v>183</v>
      </c>
      <c r="AJ740" s="3">
        <f t="shared" si="267"/>
        <v>0.5</v>
      </c>
      <c r="AK740" s="3">
        <f t="shared" si="268"/>
        <v>0.33121597096188748</v>
      </c>
      <c r="AL740" s="3">
        <f t="shared" si="269"/>
        <v>1.1592558983666061</v>
      </c>
      <c r="AM740" s="3">
        <f t="shared" si="270"/>
        <v>1.1592558983666061</v>
      </c>
      <c r="AN740" s="3">
        <f t="shared" si="271"/>
        <v>0</v>
      </c>
      <c r="AO740" s="3">
        <f t="shared" si="272"/>
        <v>1.1592558983666061</v>
      </c>
      <c r="AP740" s="1" t="str">
        <f>INDEX({"EAD";"EAD";"EAD";"EAD MOOC";"EAD";"EAD";"EAD FP";"EAD";"PRESENCIAL";"PRESENCIAL";"PRESENCIAL";"PRESENCIAL"}, MATCH(CONCATENATE(E740, ".", F740),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41" spans="1:42" x14ac:dyDescent="0.25">
      <c r="A741" s="1" t="s">
        <v>27</v>
      </c>
      <c r="B741" s="1" t="s">
        <v>43</v>
      </c>
      <c r="C741" s="1" t="s">
        <v>29</v>
      </c>
      <c r="D741" s="1" t="s">
        <v>45</v>
      </c>
      <c r="E741" s="1" t="s">
        <v>120</v>
      </c>
      <c r="F741" s="1" t="s">
        <v>21</v>
      </c>
      <c r="G741" s="1" t="s">
        <v>128</v>
      </c>
      <c r="H741" s="1" t="s">
        <v>227</v>
      </c>
      <c r="I741" s="1" t="s">
        <v>228</v>
      </c>
      <c r="J741" s="1" t="s">
        <v>125</v>
      </c>
      <c r="K741" s="1" t="s">
        <v>163</v>
      </c>
      <c r="L741" s="1">
        <v>2675449</v>
      </c>
      <c r="M741" s="1" t="s">
        <v>926</v>
      </c>
      <c r="N741" s="5">
        <f t="shared" ref="N741:N746" si="275">DATE(2020,2,3)</f>
        <v>43864</v>
      </c>
      <c r="O741" s="5">
        <f>DATE(2021,12,17)</f>
        <v>44547</v>
      </c>
      <c r="P741" s="5">
        <f t="shared" si="253"/>
        <v>45642</v>
      </c>
      <c r="Q741" s="1">
        <v>1367</v>
      </c>
      <c r="R741" s="1">
        <v>1200</v>
      </c>
      <c r="S741" s="1">
        <f t="shared" si="254"/>
        <v>1200</v>
      </c>
      <c r="T741" s="1">
        <v>2.5</v>
      </c>
      <c r="U741" s="1" t="str">
        <f t="shared" si="255"/>
        <v>SIM</v>
      </c>
      <c r="V741" s="1">
        <f t="shared" si="256"/>
        <v>684</v>
      </c>
      <c r="W741" s="4">
        <f t="shared" si="257"/>
        <v>1.7543859649122806</v>
      </c>
      <c r="X741" s="4">
        <f t="shared" si="258"/>
        <v>640.35087719298247</v>
      </c>
      <c r="Y741" s="4">
        <f t="shared" si="259"/>
        <v>0.80043859649122806</v>
      </c>
      <c r="AB741" s="5">
        <f t="shared" si="260"/>
        <v>45292</v>
      </c>
      <c r="AC741" s="5">
        <f t="shared" si="261"/>
        <v>45657</v>
      </c>
      <c r="AD741" s="1">
        <v>9</v>
      </c>
      <c r="AE741" s="1">
        <f t="shared" si="262"/>
        <v>0</v>
      </c>
      <c r="AF741" s="1">
        <f t="shared" si="263"/>
        <v>0</v>
      </c>
      <c r="AG741" s="1">
        <f t="shared" si="264"/>
        <v>0</v>
      </c>
      <c r="AH741" s="1">
        <f t="shared" si="265"/>
        <v>0</v>
      </c>
      <c r="AI741" s="1">
        <f t="shared" si="266"/>
        <v>183</v>
      </c>
      <c r="AJ741" s="3">
        <f t="shared" si="267"/>
        <v>0.5</v>
      </c>
      <c r="AK741" s="3">
        <f t="shared" si="268"/>
        <v>0.40021929824561403</v>
      </c>
      <c r="AL741" s="3">
        <f t="shared" si="269"/>
        <v>1.8009868421052631</v>
      </c>
      <c r="AM741" s="3">
        <f t="shared" si="270"/>
        <v>4.5024671052631575</v>
      </c>
      <c r="AN741" s="3">
        <f t="shared" si="271"/>
        <v>0</v>
      </c>
      <c r="AO741" s="3">
        <f t="shared" si="272"/>
        <v>4.5024671052631575</v>
      </c>
      <c r="AP741" s="1" t="str">
        <f>INDEX({"EAD";"EAD";"EAD";"EAD MOOC";"EAD";"EAD";"EAD FP";"EAD";"PRESENCIAL";"PRESENCIAL";"PRESENCIAL";"PRESENCIAL"}, MATCH(CONCATENATE(E741, ".", F741),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42" spans="1:42" x14ac:dyDescent="0.25">
      <c r="A742" s="1" t="s">
        <v>27</v>
      </c>
      <c r="B742" s="1" t="s">
        <v>43</v>
      </c>
      <c r="C742" s="1" t="s">
        <v>29</v>
      </c>
      <c r="D742" s="1" t="s">
        <v>45</v>
      </c>
      <c r="E742" s="1" t="s">
        <v>120</v>
      </c>
      <c r="F742" s="1" t="s">
        <v>21</v>
      </c>
      <c r="G742" s="1" t="s">
        <v>128</v>
      </c>
      <c r="H742" s="1" t="s">
        <v>890</v>
      </c>
      <c r="I742" s="1" t="s">
        <v>191</v>
      </c>
      <c r="J742" s="1" t="s">
        <v>125</v>
      </c>
      <c r="K742" s="1" t="s">
        <v>163</v>
      </c>
      <c r="L742" s="1">
        <v>2675452</v>
      </c>
      <c r="M742" s="1" t="s">
        <v>927</v>
      </c>
      <c r="N742" s="5">
        <f t="shared" si="275"/>
        <v>43864</v>
      </c>
      <c r="O742" s="5">
        <f>DATE(2021,12,17)</f>
        <v>44547</v>
      </c>
      <c r="P742" s="5">
        <f t="shared" si="253"/>
        <v>45642</v>
      </c>
      <c r="Q742" s="1">
        <v>1343</v>
      </c>
      <c r="R742" s="1">
        <v>1200</v>
      </c>
      <c r="S742" s="1">
        <f t="shared" si="254"/>
        <v>1200</v>
      </c>
      <c r="T742" s="1">
        <v>2.5</v>
      </c>
      <c r="U742" s="1" t="str">
        <f t="shared" si="255"/>
        <v>SIM</v>
      </c>
      <c r="V742" s="1">
        <f t="shared" si="256"/>
        <v>684</v>
      </c>
      <c r="W742" s="4">
        <f t="shared" si="257"/>
        <v>1.7543859649122806</v>
      </c>
      <c r="X742" s="4">
        <f t="shared" si="258"/>
        <v>640.35087719298247</v>
      </c>
      <c r="Y742" s="4">
        <f t="shared" si="259"/>
        <v>0.80043859649122806</v>
      </c>
      <c r="AB742" s="5">
        <f t="shared" si="260"/>
        <v>45292</v>
      </c>
      <c r="AC742" s="5">
        <f t="shared" si="261"/>
        <v>45657</v>
      </c>
      <c r="AD742" s="1">
        <v>1</v>
      </c>
      <c r="AE742" s="1">
        <f t="shared" si="262"/>
        <v>0</v>
      </c>
      <c r="AF742" s="1">
        <f t="shared" si="263"/>
        <v>0</v>
      </c>
      <c r="AG742" s="1">
        <f t="shared" si="264"/>
        <v>0</v>
      </c>
      <c r="AH742" s="1">
        <f t="shared" si="265"/>
        <v>0</v>
      </c>
      <c r="AI742" s="1">
        <f t="shared" si="266"/>
        <v>183</v>
      </c>
      <c r="AJ742" s="3">
        <f t="shared" si="267"/>
        <v>0.5</v>
      </c>
      <c r="AK742" s="3">
        <f t="shared" si="268"/>
        <v>0.40021929824561403</v>
      </c>
      <c r="AL742" s="3">
        <f t="shared" si="269"/>
        <v>0.20010964912280702</v>
      </c>
      <c r="AM742" s="3">
        <f t="shared" si="270"/>
        <v>0.50027412280701755</v>
      </c>
      <c r="AN742" s="3">
        <f t="shared" si="271"/>
        <v>0</v>
      </c>
      <c r="AO742" s="3">
        <f t="shared" si="272"/>
        <v>0.50027412280701755</v>
      </c>
      <c r="AP742" s="1" t="str">
        <f>INDEX({"EAD";"EAD";"EAD";"EAD MOOC";"EAD";"EAD";"EAD FP";"EAD";"PRESENCIAL";"PRESENCIAL";"PRESENCIAL";"PRESENCIAL"}, MATCH(CONCATENATE(E742, ".", F742),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43" spans="1:42" x14ac:dyDescent="0.25">
      <c r="A743" s="1" t="s">
        <v>27</v>
      </c>
      <c r="B743" s="1" t="s">
        <v>43</v>
      </c>
      <c r="C743" s="1" t="s">
        <v>29</v>
      </c>
      <c r="D743" s="1" t="s">
        <v>45</v>
      </c>
      <c r="E743" s="1" t="s">
        <v>120</v>
      </c>
      <c r="F743" s="1" t="s">
        <v>21</v>
      </c>
      <c r="G743" s="1" t="s">
        <v>128</v>
      </c>
      <c r="H743" s="1" t="s">
        <v>907</v>
      </c>
      <c r="I743" s="1" t="s">
        <v>224</v>
      </c>
      <c r="J743" s="1" t="s">
        <v>125</v>
      </c>
      <c r="K743" s="1" t="s">
        <v>130</v>
      </c>
      <c r="L743" s="1">
        <v>2675455</v>
      </c>
      <c r="M743" s="1" t="s">
        <v>928</v>
      </c>
      <c r="N743" s="5">
        <f t="shared" si="275"/>
        <v>43864</v>
      </c>
      <c r="O743" s="5">
        <f>DATE(2022,12,23)</f>
        <v>44918</v>
      </c>
      <c r="P743" s="5">
        <f t="shared" si="253"/>
        <v>46013</v>
      </c>
      <c r="Q743" s="1">
        <v>3689</v>
      </c>
      <c r="R743" s="1">
        <v>1200</v>
      </c>
      <c r="S743" s="1">
        <f t="shared" si="254"/>
        <v>3200</v>
      </c>
      <c r="T743" s="1">
        <v>1.5</v>
      </c>
      <c r="U743" s="1" t="str">
        <f t="shared" si="255"/>
        <v>SIM</v>
      </c>
      <c r="V743" s="1">
        <f t="shared" si="256"/>
        <v>1055</v>
      </c>
      <c r="W743" s="4">
        <f t="shared" si="257"/>
        <v>3.0331753554502368</v>
      </c>
      <c r="X743" s="4">
        <f t="shared" si="258"/>
        <v>1107.1090047393363</v>
      </c>
      <c r="Y743" s="4">
        <f t="shared" si="259"/>
        <v>1.3838862559241705</v>
      </c>
      <c r="AB743" s="5">
        <f t="shared" si="260"/>
        <v>45292</v>
      </c>
      <c r="AC743" s="5">
        <f t="shared" si="261"/>
        <v>45657</v>
      </c>
      <c r="AD743" s="1">
        <v>3</v>
      </c>
      <c r="AE743" s="1">
        <f t="shared" si="262"/>
        <v>0</v>
      </c>
      <c r="AF743" s="1">
        <f t="shared" si="263"/>
        <v>0</v>
      </c>
      <c r="AG743" s="1">
        <f t="shared" si="264"/>
        <v>0</v>
      </c>
      <c r="AH743" s="1">
        <f t="shared" si="265"/>
        <v>0</v>
      </c>
      <c r="AI743" s="1">
        <f t="shared" si="266"/>
        <v>183</v>
      </c>
      <c r="AJ743" s="3">
        <f t="shared" si="267"/>
        <v>0.5</v>
      </c>
      <c r="AK743" s="3">
        <f t="shared" si="268"/>
        <v>0.69194312796208524</v>
      </c>
      <c r="AL743" s="3">
        <f t="shared" si="269"/>
        <v>1.0379146919431279</v>
      </c>
      <c r="AM743" s="3">
        <f t="shared" si="270"/>
        <v>1.5568720379146919</v>
      </c>
      <c r="AN743" s="3">
        <f t="shared" si="271"/>
        <v>0</v>
      </c>
      <c r="AO743" s="3">
        <f t="shared" si="272"/>
        <v>1.5568720379146919</v>
      </c>
      <c r="AP743" s="1" t="str">
        <f>INDEX({"EAD";"EAD";"EAD";"EAD MOOC";"EAD";"EAD";"EAD FP";"EAD";"PRESENCIAL";"PRESENCIAL";"PRESENCIAL";"PRESENCIAL"}, MATCH(CONCATENATE(E743, ".", F743),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44" spans="1:42" x14ac:dyDescent="0.25">
      <c r="A744" s="1" t="s">
        <v>27</v>
      </c>
      <c r="B744" s="1" t="s">
        <v>43</v>
      </c>
      <c r="C744" s="1" t="s">
        <v>29</v>
      </c>
      <c r="D744" s="1" t="s">
        <v>45</v>
      </c>
      <c r="E744" s="1" t="s">
        <v>120</v>
      </c>
      <c r="F744" s="1" t="s">
        <v>21</v>
      </c>
      <c r="G744" s="1" t="s">
        <v>128</v>
      </c>
      <c r="H744" s="1" t="s">
        <v>890</v>
      </c>
      <c r="I744" s="1" t="s">
        <v>191</v>
      </c>
      <c r="J744" s="1" t="s">
        <v>125</v>
      </c>
      <c r="K744" s="1" t="s">
        <v>130</v>
      </c>
      <c r="L744" s="1">
        <v>2675457</v>
      </c>
      <c r="M744" s="1" t="s">
        <v>929</v>
      </c>
      <c r="N744" s="5">
        <f t="shared" si="275"/>
        <v>43864</v>
      </c>
      <c r="O744" s="5">
        <f>DATE(2022,12,23)</f>
        <v>44918</v>
      </c>
      <c r="P744" s="5">
        <f t="shared" si="253"/>
        <v>46013</v>
      </c>
      <c r="Q744" s="1">
        <v>3689</v>
      </c>
      <c r="R744" s="1">
        <v>1200</v>
      </c>
      <c r="S744" s="1">
        <f t="shared" si="254"/>
        <v>3200</v>
      </c>
      <c r="T744" s="1">
        <v>2.5</v>
      </c>
      <c r="U744" s="1" t="str">
        <f t="shared" si="255"/>
        <v>SIM</v>
      </c>
      <c r="V744" s="1">
        <f t="shared" si="256"/>
        <v>1055</v>
      </c>
      <c r="W744" s="4">
        <f t="shared" si="257"/>
        <v>3.0331753554502368</v>
      </c>
      <c r="X744" s="4">
        <f t="shared" si="258"/>
        <v>1107.1090047393363</v>
      </c>
      <c r="Y744" s="4">
        <f t="shared" si="259"/>
        <v>1.3838862559241705</v>
      </c>
      <c r="AB744" s="5">
        <f t="shared" si="260"/>
        <v>45292</v>
      </c>
      <c r="AC744" s="5">
        <f t="shared" si="261"/>
        <v>45657</v>
      </c>
      <c r="AD744" s="1">
        <v>2</v>
      </c>
      <c r="AE744" s="1">
        <f t="shared" si="262"/>
        <v>0</v>
      </c>
      <c r="AF744" s="1">
        <f t="shared" si="263"/>
        <v>0</v>
      </c>
      <c r="AG744" s="1">
        <f t="shared" si="264"/>
        <v>0</v>
      </c>
      <c r="AH744" s="1">
        <f t="shared" si="265"/>
        <v>0</v>
      </c>
      <c r="AI744" s="1">
        <f t="shared" si="266"/>
        <v>183</v>
      </c>
      <c r="AJ744" s="3">
        <f t="shared" si="267"/>
        <v>0.5</v>
      </c>
      <c r="AK744" s="3">
        <f t="shared" si="268"/>
        <v>0.69194312796208524</v>
      </c>
      <c r="AL744" s="3">
        <f t="shared" si="269"/>
        <v>0.69194312796208524</v>
      </c>
      <c r="AM744" s="3">
        <f t="shared" si="270"/>
        <v>1.729857819905213</v>
      </c>
      <c r="AN744" s="3">
        <f t="shared" si="271"/>
        <v>0</v>
      </c>
      <c r="AO744" s="3">
        <f t="shared" si="272"/>
        <v>1.729857819905213</v>
      </c>
      <c r="AP744" s="1" t="str">
        <f>INDEX({"EAD";"EAD";"EAD";"EAD MOOC";"EAD";"EAD";"EAD FP";"EAD";"PRESENCIAL";"PRESENCIAL";"PRESENCIAL";"PRESENCIAL"}, MATCH(CONCATENATE(E744, ".", F744),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45" spans="1:42" x14ac:dyDescent="0.25">
      <c r="A745" s="1" t="s">
        <v>27</v>
      </c>
      <c r="B745" s="1" t="s">
        <v>43</v>
      </c>
      <c r="C745" s="1" t="s">
        <v>29</v>
      </c>
      <c r="D745" s="1" t="s">
        <v>45</v>
      </c>
      <c r="E745" s="1" t="s">
        <v>120</v>
      </c>
      <c r="F745" s="1" t="s">
        <v>21</v>
      </c>
      <c r="G745" s="1" t="s">
        <v>140</v>
      </c>
      <c r="H745" s="1" t="s">
        <v>865</v>
      </c>
      <c r="I745" s="1" t="s">
        <v>224</v>
      </c>
      <c r="J745" s="1" t="s">
        <v>125</v>
      </c>
      <c r="K745" s="1" t="s">
        <v>109</v>
      </c>
      <c r="L745" s="1">
        <v>2675459</v>
      </c>
      <c r="M745" s="1" t="s">
        <v>930</v>
      </c>
      <c r="N745" s="5">
        <f t="shared" si="275"/>
        <v>43864</v>
      </c>
      <c r="O745" s="5">
        <f>DATE(2023,2,24)</f>
        <v>44981</v>
      </c>
      <c r="P745" s="5">
        <f t="shared" si="253"/>
        <v>46076</v>
      </c>
      <c r="Q745" s="1">
        <v>2160</v>
      </c>
      <c r="R745" s="1">
        <v>1600</v>
      </c>
      <c r="S745" s="1">
        <f t="shared" si="254"/>
        <v>1600</v>
      </c>
      <c r="T745" s="1">
        <v>1</v>
      </c>
      <c r="U745" s="1" t="str">
        <f t="shared" si="255"/>
        <v>SIM</v>
      </c>
      <c r="V745" s="1">
        <f t="shared" si="256"/>
        <v>1118</v>
      </c>
      <c r="W745" s="4">
        <f t="shared" si="257"/>
        <v>1.4311270125223614</v>
      </c>
      <c r="X745" s="4">
        <f t="shared" si="258"/>
        <v>522.36135957066188</v>
      </c>
      <c r="Y745" s="4">
        <f t="shared" si="259"/>
        <v>0.65295169946332732</v>
      </c>
      <c r="AB745" s="5">
        <f t="shared" si="260"/>
        <v>45292</v>
      </c>
      <c r="AC745" s="5">
        <f t="shared" si="261"/>
        <v>45657</v>
      </c>
      <c r="AD745" s="1">
        <v>6</v>
      </c>
      <c r="AE745" s="1">
        <f t="shared" si="262"/>
        <v>0</v>
      </c>
      <c r="AF745" s="1">
        <f t="shared" si="263"/>
        <v>0</v>
      </c>
      <c r="AG745" s="1">
        <f t="shared" si="264"/>
        <v>0</v>
      </c>
      <c r="AH745" s="1">
        <f t="shared" si="265"/>
        <v>0</v>
      </c>
      <c r="AI745" s="1">
        <f t="shared" si="266"/>
        <v>183</v>
      </c>
      <c r="AJ745" s="3">
        <f t="shared" si="267"/>
        <v>0.5</v>
      </c>
      <c r="AK745" s="3">
        <f t="shared" si="268"/>
        <v>0.32647584973166366</v>
      </c>
      <c r="AL745" s="3">
        <f t="shared" si="269"/>
        <v>0.97942754919499098</v>
      </c>
      <c r="AM745" s="3">
        <f t="shared" si="270"/>
        <v>0.97942754919499098</v>
      </c>
      <c r="AN745" s="3">
        <f t="shared" si="271"/>
        <v>0</v>
      </c>
      <c r="AO745" s="3">
        <f t="shared" si="272"/>
        <v>0.97942754919499098</v>
      </c>
      <c r="AP745" s="1" t="str">
        <f>INDEX({"EAD";"EAD";"EAD";"EAD MOOC";"EAD";"EAD";"EAD FP";"EAD";"PRESENCIAL";"PRESENCIAL";"PRESENCIAL";"PRESENCIAL"}, MATCH(CONCATENATE(E745, ".", F745),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46" spans="1:42" x14ac:dyDescent="0.25">
      <c r="A746" s="1" t="s">
        <v>27</v>
      </c>
      <c r="B746" s="1" t="s">
        <v>43</v>
      </c>
      <c r="C746" s="1" t="s">
        <v>29</v>
      </c>
      <c r="D746" s="1" t="s">
        <v>45</v>
      </c>
      <c r="E746" s="1" t="s">
        <v>120</v>
      </c>
      <c r="F746" s="1" t="s">
        <v>21</v>
      </c>
      <c r="G746" s="1" t="s">
        <v>121</v>
      </c>
      <c r="H746" s="1" t="s">
        <v>869</v>
      </c>
      <c r="I746" s="1" t="s">
        <v>228</v>
      </c>
      <c r="J746" s="1" t="s">
        <v>125</v>
      </c>
      <c r="K746" s="1" t="s">
        <v>109</v>
      </c>
      <c r="L746" s="1">
        <v>2675460</v>
      </c>
      <c r="M746" s="1" t="s">
        <v>931</v>
      </c>
      <c r="N746" s="5">
        <f t="shared" si="275"/>
        <v>43864</v>
      </c>
      <c r="O746" s="5">
        <f>DATE(2024,12,13)</f>
        <v>45639</v>
      </c>
      <c r="P746" s="5">
        <f t="shared" si="253"/>
        <v>46734</v>
      </c>
      <c r="Q746" s="1">
        <v>4020</v>
      </c>
      <c r="R746" s="1">
        <v>3600</v>
      </c>
      <c r="S746" s="1">
        <f t="shared" si="254"/>
        <v>3600</v>
      </c>
      <c r="T746" s="1">
        <v>2.5</v>
      </c>
      <c r="U746" s="1" t="str">
        <f t="shared" si="255"/>
        <v>SIM</v>
      </c>
      <c r="V746" s="1">
        <f t="shared" si="256"/>
        <v>1776</v>
      </c>
      <c r="W746" s="4">
        <f t="shared" si="257"/>
        <v>2.0270270270270272</v>
      </c>
      <c r="X746" s="4">
        <f t="shared" si="258"/>
        <v>739.8648648648649</v>
      </c>
      <c r="Y746" s="4">
        <f t="shared" si="259"/>
        <v>0.92483108108108114</v>
      </c>
      <c r="AB746" s="5">
        <f t="shared" si="260"/>
        <v>45292</v>
      </c>
      <c r="AC746" s="5">
        <f t="shared" si="261"/>
        <v>45657</v>
      </c>
      <c r="AD746" s="1">
        <v>9</v>
      </c>
      <c r="AE746" s="1">
        <f t="shared" si="262"/>
        <v>0</v>
      </c>
      <c r="AF746" s="1">
        <f t="shared" si="263"/>
        <v>0</v>
      </c>
      <c r="AG746" s="1">
        <f t="shared" si="264"/>
        <v>348</v>
      </c>
      <c r="AH746" s="1">
        <f t="shared" si="265"/>
        <v>0</v>
      </c>
      <c r="AI746" s="1">
        <f t="shared" si="266"/>
        <v>0</v>
      </c>
      <c r="AJ746" s="3">
        <f t="shared" si="267"/>
        <v>0.95081967213114749</v>
      </c>
      <c r="AK746" s="3">
        <f t="shared" si="268"/>
        <v>0.87934758529020829</v>
      </c>
      <c r="AL746" s="3">
        <f t="shared" si="269"/>
        <v>7.9141282676118747</v>
      </c>
      <c r="AM746" s="3">
        <f t="shared" si="270"/>
        <v>19.785320669029687</v>
      </c>
      <c r="AN746" s="3">
        <f t="shared" si="271"/>
        <v>0</v>
      </c>
      <c r="AO746" s="3">
        <f t="shared" si="272"/>
        <v>19.785320669029687</v>
      </c>
      <c r="AP746" s="1" t="str">
        <f>INDEX({"EAD";"EAD";"EAD";"EAD MOOC";"EAD";"EAD";"EAD FP";"EAD";"PRESENCIAL";"PRESENCIAL";"PRESENCIAL";"PRESENCIAL"}, MATCH(CONCATENATE(E746, ".", F746),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47" spans="1:42" x14ac:dyDescent="0.25">
      <c r="A747" s="1" t="s">
        <v>27</v>
      </c>
      <c r="B747" s="1" t="s">
        <v>43</v>
      </c>
      <c r="C747" s="1" t="s">
        <v>29</v>
      </c>
      <c r="D747" s="1" t="s">
        <v>45</v>
      </c>
      <c r="E747" s="1" t="s">
        <v>120</v>
      </c>
      <c r="F747" s="1" t="s">
        <v>21</v>
      </c>
      <c r="G747" s="1" t="s">
        <v>727</v>
      </c>
      <c r="H747" s="1" t="s">
        <v>919</v>
      </c>
      <c r="I747" s="1" t="s">
        <v>224</v>
      </c>
      <c r="J747" s="1" t="s">
        <v>125</v>
      </c>
      <c r="K747" s="1" t="s">
        <v>109</v>
      </c>
      <c r="L747" s="1">
        <v>2868239</v>
      </c>
      <c r="M747" s="1" t="s">
        <v>932</v>
      </c>
      <c r="N747" s="5">
        <f>DATE(2020,3,16)</f>
        <v>43906</v>
      </c>
      <c r="O747" s="5">
        <f>DATE(2021,12,17)</f>
        <v>44547</v>
      </c>
      <c r="P747" s="5">
        <f t="shared" si="253"/>
        <v>45642</v>
      </c>
      <c r="Q747" s="1">
        <v>360</v>
      </c>
      <c r="R747" s="1">
        <v>360</v>
      </c>
      <c r="S747" s="1">
        <f t="shared" si="254"/>
        <v>360</v>
      </c>
      <c r="T747" s="1">
        <v>3.75</v>
      </c>
      <c r="U747" s="1" t="str">
        <f t="shared" si="255"/>
        <v>SIM</v>
      </c>
      <c r="V747" s="1">
        <f t="shared" si="256"/>
        <v>642</v>
      </c>
      <c r="W747" s="4">
        <f t="shared" si="257"/>
        <v>0.56074766355140182</v>
      </c>
      <c r="X747" s="4">
        <f t="shared" si="258"/>
        <v>204.67289719626166</v>
      </c>
      <c r="Y747" s="4">
        <f t="shared" si="259"/>
        <v>0.25584112149532706</v>
      </c>
      <c r="AB747" s="5">
        <f t="shared" si="260"/>
        <v>45292</v>
      </c>
      <c r="AC747" s="5">
        <f t="shared" si="261"/>
        <v>45657</v>
      </c>
      <c r="AD747" s="1">
        <v>3</v>
      </c>
      <c r="AE747" s="1">
        <f t="shared" si="262"/>
        <v>0</v>
      </c>
      <c r="AF747" s="1">
        <f t="shared" si="263"/>
        <v>0</v>
      </c>
      <c r="AG747" s="1">
        <f t="shared" si="264"/>
        <v>0</v>
      </c>
      <c r="AH747" s="1">
        <f t="shared" si="265"/>
        <v>0</v>
      </c>
      <c r="AI747" s="1">
        <f t="shared" si="266"/>
        <v>183</v>
      </c>
      <c r="AJ747" s="3">
        <f t="shared" si="267"/>
        <v>0.5</v>
      </c>
      <c r="AK747" s="3">
        <f t="shared" si="268"/>
        <v>0.12792056074766353</v>
      </c>
      <c r="AL747" s="3">
        <f t="shared" si="269"/>
        <v>0.19188084112149528</v>
      </c>
      <c r="AM747" s="3">
        <f t="shared" si="270"/>
        <v>0.71955315420560728</v>
      </c>
      <c r="AN747" s="3">
        <f t="shared" si="271"/>
        <v>0</v>
      </c>
      <c r="AO747" s="3">
        <f t="shared" si="272"/>
        <v>0.71955315420560728</v>
      </c>
      <c r="AP747" s="1" t="str">
        <f>INDEX({"EAD";"EAD";"EAD";"EAD MOOC";"EAD";"EAD";"EAD FP";"EAD";"PRESENCIAL";"PRESENCIAL";"PRESENCIAL";"PRESENCIAL"}, MATCH(CONCATENATE(E747, ".", F747),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48" spans="1:42" x14ac:dyDescent="0.25">
      <c r="A748" s="1" t="s">
        <v>27</v>
      </c>
      <c r="B748" s="1" t="s">
        <v>43</v>
      </c>
      <c r="C748" s="1" t="s">
        <v>29</v>
      </c>
      <c r="D748" s="1" t="s">
        <v>45</v>
      </c>
      <c r="E748" s="1" t="s">
        <v>120</v>
      </c>
      <c r="F748" s="1" t="s">
        <v>21</v>
      </c>
      <c r="G748" s="1" t="s">
        <v>727</v>
      </c>
      <c r="H748" s="1" t="s">
        <v>919</v>
      </c>
      <c r="I748" s="1" t="s">
        <v>224</v>
      </c>
      <c r="J748" s="1" t="s">
        <v>125</v>
      </c>
      <c r="K748" s="1" t="s">
        <v>109</v>
      </c>
      <c r="L748" s="1">
        <v>2771756</v>
      </c>
      <c r="M748" s="1" t="s">
        <v>933</v>
      </c>
      <c r="N748" s="5">
        <f>DATE(2021,4,12)</f>
        <v>44298</v>
      </c>
      <c r="O748" s="5">
        <f>DATE(2022,12,16)</f>
        <v>44911</v>
      </c>
      <c r="P748" s="5">
        <f t="shared" si="253"/>
        <v>46006</v>
      </c>
      <c r="Q748" s="1">
        <v>470</v>
      </c>
      <c r="R748" s="1">
        <v>360</v>
      </c>
      <c r="S748" s="1">
        <f t="shared" si="254"/>
        <v>360</v>
      </c>
      <c r="T748" s="1">
        <v>3.75</v>
      </c>
      <c r="U748" s="1" t="str">
        <f t="shared" si="255"/>
        <v>SIM</v>
      </c>
      <c r="V748" s="1">
        <f t="shared" si="256"/>
        <v>614</v>
      </c>
      <c r="W748" s="4">
        <f t="shared" si="257"/>
        <v>0.58631921824104238</v>
      </c>
      <c r="X748" s="4">
        <f t="shared" si="258"/>
        <v>214.00651465798046</v>
      </c>
      <c r="Y748" s="4">
        <f t="shared" si="259"/>
        <v>0.26750814332247558</v>
      </c>
      <c r="AB748" s="5">
        <f t="shared" si="260"/>
        <v>45292</v>
      </c>
      <c r="AC748" s="5">
        <f t="shared" si="261"/>
        <v>45657</v>
      </c>
      <c r="AD748" s="1">
        <v>5</v>
      </c>
      <c r="AE748" s="1">
        <f t="shared" si="262"/>
        <v>0</v>
      </c>
      <c r="AF748" s="1">
        <f t="shared" si="263"/>
        <v>0</v>
      </c>
      <c r="AG748" s="1">
        <f t="shared" si="264"/>
        <v>0</v>
      </c>
      <c r="AH748" s="1">
        <f t="shared" si="265"/>
        <v>0</v>
      </c>
      <c r="AI748" s="1">
        <f t="shared" si="266"/>
        <v>183</v>
      </c>
      <c r="AJ748" s="3">
        <f t="shared" si="267"/>
        <v>0.5</v>
      </c>
      <c r="AK748" s="3">
        <f t="shared" si="268"/>
        <v>0.13375407166123779</v>
      </c>
      <c r="AL748" s="3">
        <f t="shared" si="269"/>
        <v>0.33438517915309446</v>
      </c>
      <c r="AM748" s="3">
        <f t="shared" si="270"/>
        <v>1.2539444218241043</v>
      </c>
      <c r="AN748" s="3">
        <f t="shared" si="271"/>
        <v>0</v>
      </c>
      <c r="AO748" s="3">
        <f t="shared" si="272"/>
        <v>1.2539444218241043</v>
      </c>
      <c r="AP748" s="1" t="str">
        <f>INDEX({"EAD";"EAD";"EAD";"EAD MOOC";"EAD";"EAD";"EAD FP";"EAD";"PRESENCIAL";"PRESENCIAL";"PRESENCIAL";"PRESENCIAL"}, MATCH(CONCATENATE(E748, ".", F748),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49" spans="1:42" x14ac:dyDescent="0.25">
      <c r="A749" s="1" t="s">
        <v>27</v>
      </c>
      <c r="B749" s="1" t="s">
        <v>43</v>
      </c>
      <c r="C749" s="1" t="s">
        <v>29</v>
      </c>
      <c r="D749" s="1" t="s">
        <v>45</v>
      </c>
      <c r="E749" s="1" t="s">
        <v>120</v>
      </c>
      <c r="F749" s="1" t="s">
        <v>21</v>
      </c>
      <c r="G749" s="1" t="s">
        <v>128</v>
      </c>
      <c r="H749" s="1" t="s">
        <v>907</v>
      </c>
      <c r="I749" s="1" t="s">
        <v>224</v>
      </c>
      <c r="J749" s="1" t="s">
        <v>125</v>
      </c>
      <c r="K749" s="1" t="s">
        <v>130</v>
      </c>
      <c r="L749" s="1">
        <v>2770650</v>
      </c>
      <c r="M749" s="1" t="s">
        <v>934</v>
      </c>
      <c r="N749" s="5">
        <f t="shared" ref="N749:N754" si="276">DATE(2021,5,17)</f>
        <v>44333</v>
      </c>
      <c r="O749" s="5">
        <f>DATE(2023,12,15)</f>
        <v>45275</v>
      </c>
      <c r="P749" s="5">
        <f t="shared" si="253"/>
        <v>46370</v>
      </c>
      <c r="Q749" s="1">
        <v>3689</v>
      </c>
      <c r="R749" s="1">
        <v>1200</v>
      </c>
      <c r="S749" s="1">
        <f t="shared" si="254"/>
        <v>3200</v>
      </c>
      <c r="T749" s="1">
        <v>1.5</v>
      </c>
      <c r="U749" s="1" t="str">
        <f t="shared" si="255"/>
        <v>SIM</v>
      </c>
      <c r="V749" s="1">
        <f t="shared" si="256"/>
        <v>943</v>
      </c>
      <c r="W749" s="4">
        <f t="shared" si="257"/>
        <v>3.3934252386002122</v>
      </c>
      <c r="X749" s="4">
        <f t="shared" si="258"/>
        <v>1238.6002120890773</v>
      </c>
      <c r="Y749" s="4">
        <f t="shared" si="259"/>
        <v>1.5482502651113466</v>
      </c>
      <c r="AB749" s="5">
        <f t="shared" si="260"/>
        <v>45292</v>
      </c>
      <c r="AC749" s="5">
        <f t="shared" si="261"/>
        <v>45657</v>
      </c>
      <c r="AD749" s="1">
        <v>8</v>
      </c>
      <c r="AE749" s="1">
        <f t="shared" si="262"/>
        <v>0</v>
      </c>
      <c r="AF749" s="1">
        <f t="shared" si="263"/>
        <v>0</v>
      </c>
      <c r="AG749" s="1">
        <f t="shared" si="264"/>
        <v>0</v>
      </c>
      <c r="AH749" s="1">
        <f t="shared" si="265"/>
        <v>0</v>
      </c>
      <c r="AI749" s="1">
        <f t="shared" si="266"/>
        <v>183</v>
      </c>
      <c r="AJ749" s="3">
        <f t="shared" si="267"/>
        <v>0.5</v>
      </c>
      <c r="AK749" s="3">
        <f t="shared" si="268"/>
        <v>0.77412513255567328</v>
      </c>
      <c r="AL749" s="3">
        <f t="shared" si="269"/>
        <v>3.0965005302226931</v>
      </c>
      <c r="AM749" s="3">
        <f t="shared" si="270"/>
        <v>4.6447507953340397</v>
      </c>
      <c r="AN749" s="3">
        <f t="shared" si="271"/>
        <v>0</v>
      </c>
      <c r="AO749" s="3">
        <f t="shared" si="272"/>
        <v>4.6447507953340397</v>
      </c>
      <c r="AP749" s="1" t="str">
        <f>INDEX({"EAD";"EAD";"EAD";"EAD MOOC";"EAD";"EAD";"EAD FP";"EAD";"PRESENCIAL";"PRESENCIAL";"PRESENCIAL";"PRESENCIAL"}, MATCH(CONCATENATE(E749, ".", F749),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50" spans="1:42" x14ac:dyDescent="0.25">
      <c r="A750" s="1" t="s">
        <v>27</v>
      </c>
      <c r="B750" s="1" t="s">
        <v>43</v>
      </c>
      <c r="C750" s="1" t="s">
        <v>29</v>
      </c>
      <c r="D750" s="1" t="s">
        <v>45</v>
      </c>
      <c r="E750" s="1" t="s">
        <v>120</v>
      </c>
      <c r="F750" s="1" t="s">
        <v>21</v>
      </c>
      <c r="G750" s="1" t="s">
        <v>128</v>
      </c>
      <c r="H750" s="1" t="s">
        <v>890</v>
      </c>
      <c r="I750" s="1" t="s">
        <v>191</v>
      </c>
      <c r="J750" s="1" t="s">
        <v>125</v>
      </c>
      <c r="K750" s="1" t="s">
        <v>130</v>
      </c>
      <c r="L750" s="1">
        <v>2770651</v>
      </c>
      <c r="M750" s="1" t="s">
        <v>935</v>
      </c>
      <c r="N750" s="5">
        <f t="shared" si="276"/>
        <v>44333</v>
      </c>
      <c r="O750" s="5">
        <f>DATE(2023,12,15)</f>
        <v>45275</v>
      </c>
      <c r="P750" s="5">
        <f t="shared" si="253"/>
        <v>46370</v>
      </c>
      <c r="Q750" s="1">
        <v>3689</v>
      </c>
      <c r="R750" s="1">
        <v>1200</v>
      </c>
      <c r="S750" s="1">
        <f t="shared" si="254"/>
        <v>3200</v>
      </c>
      <c r="T750" s="1">
        <v>2.5</v>
      </c>
      <c r="U750" s="1" t="str">
        <f t="shared" si="255"/>
        <v>SIM</v>
      </c>
      <c r="V750" s="1">
        <f t="shared" si="256"/>
        <v>943</v>
      </c>
      <c r="W750" s="4">
        <f t="shared" si="257"/>
        <v>3.3934252386002122</v>
      </c>
      <c r="X750" s="4">
        <f t="shared" si="258"/>
        <v>1238.6002120890773</v>
      </c>
      <c r="Y750" s="4">
        <f t="shared" si="259"/>
        <v>1.5482502651113466</v>
      </c>
      <c r="AB750" s="5">
        <f t="shared" si="260"/>
        <v>45292</v>
      </c>
      <c r="AC750" s="5">
        <f t="shared" si="261"/>
        <v>45657</v>
      </c>
      <c r="AD750" s="1">
        <v>7</v>
      </c>
      <c r="AE750" s="1">
        <f t="shared" si="262"/>
        <v>0</v>
      </c>
      <c r="AF750" s="1">
        <f t="shared" si="263"/>
        <v>0</v>
      </c>
      <c r="AG750" s="1">
        <f t="shared" si="264"/>
        <v>0</v>
      </c>
      <c r="AH750" s="1">
        <f t="shared" si="265"/>
        <v>0</v>
      </c>
      <c r="AI750" s="1">
        <f t="shared" si="266"/>
        <v>183</v>
      </c>
      <c r="AJ750" s="3">
        <f t="shared" si="267"/>
        <v>0.5</v>
      </c>
      <c r="AK750" s="3">
        <f t="shared" si="268"/>
        <v>0.77412513255567328</v>
      </c>
      <c r="AL750" s="3">
        <f t="shared" si="269"/>
        <v>2.7094379639448567</v>
      </c>
      <c r="AM750" s="3">
        <f t="shared" si="270"/>
        <v>6.7735949098621422</v>
      </c>
      <c r="AN750" s="3">
        <f t="shared" si="271"/>
        <v>0</v>
      </c>
      <c r="AO750" s="3">
        <f t="shared" si="272"/>
        <v>6.7735949098621422</v>
      </c>
      <c r="AP750" s="1" t="str">
        <f>INDEX({"EAD";"EAD";"EAD";"EAD MOOC";"EAD";"EAD";"EAD FP";"EAD";"PRESENCIAL";"PRESENCIAL";"PRESENCIAL";"PRESENCIAL"}, MATCH(CONCATENATE(E750, ".", F750),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51" spans="1:42" x14ac:dyDescent="0.25">
      <c r="A751" s="1" t="s">
        <v>27</v>
      </c>
      <c r="B751" s="1" t="s">
        <v>43</v>
      </c>
      <c r="C751" s="1" t="s">
        <v>29</v>
      </c>
      <c r="D751" s="1" t="s">
        <v>45</v>
      </c>
      <c r="E751" s="1" t="s">
        <v>120</v>
      </c>
      <c r="F751" s="1" t="s">
        <v>21</v>
      </c>
      <c r="G751" s="1" t="s">
        <v>121</v>
      </c>
      <c r="H751" s="1" t="s">
        <v>869</v>
      </c>
      <c r="I751" s="1" t="s">
        <v>228</v>
      </c>
      <c r="J751" s="1" t="s">
        <v>125</v>
      </c>
      <c r="K751" s="1" t="s">
        <v>109</v>
      </c>
      <c r="L751" s="1">
        <v>2771368</v>
      </c>
      <c r="M751" s="1" t="s">
        <v>936</v>
      </c>
      <c r="N751" s="5">
        <f t="shared" si="276"/>
        <v>44333</v>
      </c>
      <c r="O751" s="5">
        <f>DATE(2025,12,19)</f>
        <v>46010</v>
      </c>
      <c r="P751" s="5">
        <f t="shared" si="253"/>
        <v>47105</v>
      </c>
      <c r="Q751" s="1">
        <v>4020</v>
      </c>
      <c r="R751" s="1">
        <v>3600</v>
      </c>
      <c r="S751" s="1">
        <f t="shared" si="254"/>
        <v>3600</v>
      </c>
      <c r="T751" s="1">
        <v>2.5</v>
      </c>
      <c r="U751" s="1" t="str">
        <f t="shared" si="255"/>
        <v>SIM</v>
      </c>
      <c r="V751" s="1">
        <f t="shared" si="256"/>
        <v>1678</v>
      </c>
      <c r="W751" s="4">
        <f t="shared" si="257"/>
        <v>2.1454112038140645</v>
      </c>
      <c r="X751" s="4">
        <f t="shared" si="258"/>
        <v>783.07508939213358</v>
      </c>
      <c r="Y751" s="4">
        <f t="shared" si="259"/>
        <v>0.97884386174016702</v>
      </c>
      <c r="AB751" s="5">
        <f t="shared" si="260"/>
        <v>45292</v>
      </c>
      <c r="AC751" s="5">
        <f t="shared" si="261"/>
        <v>45657</v>
      </c>
      <c r="AD751" s="1">
        <v>11</v>
      </c>
      <c r="AE751" s="1">
        <f t="shared" si="262"/>
        <v>366</v>
      </c>
      <c r="AF751" s="1">
        <f t="shared" si="263"/>
        <v>0</v>
      </c>
      <c r="AG751" s="1">
        <f t="shared" si="264"/>
        <v>0</v>
      </c>
      <c r="AH751" s="1">
        <f t="shared" si="265"/>
        <v>0</v>
      </c>
      <c r="AI751" s="1">
        <f t="shared" si="266"/>
        <v>0</v>
      </c>
      <c r="AJ751" s="3">
        <f t="shared" si="267"/>
        <v>1</v>
      </c>
      <c r="AK751" s="3">
        <f t="shared" si="268"/>
        <v>0.97884386174016702</v>
      </c>
      <c r="AL751" s="3">
        <f t="shared" si="269"/>
        <v>10.767282479141837</v>
      </c>
      <c r="AM751" s="3">
        <f t="shared" si="270"/>
        <v>26.918206197854595</v>
      </c>
      <c r="AN751" s="3">
        <f t="shared" si="271"/>
        <v>0</v>
      </c>
      <c r="AO751" s="3">
        <f t="shared" si="272"/>
        <v>26.918206197854595</v>
      </c>
      <c r="AP751" s="1" t="str">
        <f>INDEX({"EAD";"EAD";"EAD";"EAD MOOC";"EAD";"EAD";"EAD FP";"EAD";"PRESENCIAL";"PRESENCIAL";"PRESENCIAL";"PRESENCIAL"}, MATCH(CONCATENATE(E751, ".", F751),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52" spans="1:42" x14ac:dyDescent="0.25">
      <c r="A752" s="1" t="s">
        <v>27</v>
      </c>
      <c r="B752" s="1" t="s">
        <v>43</v>
      </c>
      <c r="C752" s="1" t="s">
        <v>29</v>
      </c>
      <c r="D752" s="1" t="s">
        <v>45</v>
      </c>
      <c r="E752" s="1" t="s">
        <v>120</v>
      </c>
      <c r="F752" s="1" t="s">
        <v>21</v>
      </c>
      <c r="G752" s="1" t="s">
        <v>140</v>
      </c>
      <c r="H752" s="1" t="s">
        <v>865</v>
      </c>
      <c r="I752" s="1" t="s">
        <v>224</v>
      </c>
      <c r="J752" s="1" t="s">
        <v>125</v>
      </c>
      <c r="K752" s="1" t="s">
        <v>109</v>
      </c>
      <c r="L752" s="1">
        <v>2771369</v>
      </c>
      <c r="M752" s="1" t="s">
        <v>937</v>
      </c>
      <c r="N752" s="5">
        <f t="shared" si="276"/>
        <v>44333</v>
      </c>
      <c r="O752" s="5">
        <f>DATE(2023,12,15)</f>
        <v>45275</v>
      </c>
      <c r="P752" s="5">
        <f t="shared" si="253"/>
        <v>46370</v>
      </c>
      <c r="Q752" s="1">
        <v>2160</v>
      </c>
      <c r="R752" s="1">
        <v>1600</v>
      </c>
      <c r="S752" s="1">
        <f t="shared" si="254"/>
        <v>1600</v>
      </c>
      <c r="T752" s="1">
        <v>1</v>
      </c>
      <c r="U752" s="1" t="str">
        <f t="shared" si="255"/>
        <v>SIM</v>
      </c>
      <c r="V752" s="1">
        <f t="shared" si="256"/>
        <v>943</v>
      </c>
      <c r="W752" s="4">
        <f t="shared" si="257"/>
        <v>1.6967126193001061</v>
      </c>
      <c r="X752" s="4">
        <f t="shared" si="258"/>
        <v>619.30010604453867</v>
      </c>
      <c r="Y752" s="4">
        <f t="shared" si="259"/>
        <v>0.77412513255567328</v>
      </c>
      <c r="AB752" s="5">
        <f t="shared" si="260"/>
        <v>45292</v>
      </c>
      <c r="AC752" s="5">
        <f t="shared" si="261"/>
        <v>45657</v>
      </c>
      <c r="AD752" s="1">
        <v>7</v>
      </c>
      <c r="AE752" s="1">
        <f t="shared" si="262"/>
        <v>0</v>
      </c>
      <c r="AF752" s="1">
        <f t="shared" si="263"/>
        <v>0</v>
      </c>
      <c r="AG752" s="1">
        <f t="shared" si="264"/>
        <v>0</v>
      </c>
      <c r="AH752" s="1">
        <f t="shared" si="265"/>
        <v>0</v>
      </c>
      <c r="AI752" s="1">
        <f t="shared" si="266"/>
        <v>183</v>
      </c>
      <c r="AJ752" s="3">
        <f t="shared" si="267"/>
        <v>0.5</v>
      </c>
      <c r="AK752" s="3">
        <f t="shared" si="268"/>
        <v>0.38706256627783664</v>
      </c>
      <c r="AL752" s="3">
        <f t="shared" si="269"/>
        <v>1.3547189819724283</v>
      </c>
      <c r="AM752" s="3">
        <f t="shared" si="270"/>
        <v>1.3547189819724283</v>
      </c>
      <c r="AN752" s="3">
        <f t="shared" si="271"/>
        <v>0</v>
      </c>
      <c r="AO752" s="3">
        <f t="shared" si="272"/>
        <v>1.3547189819724283</v>
      </c>
      <c r="AP752" s="1" t="str">
        <f>INDEX({"EAD";"EAD";"EAD";"EAD MOOC";"EAD";"EAD";"EAD FP";"EAD";"PRESENCIAL";"PRESENCIAL";"PRESENCIAL";"PRESENCIAL"}, MATCH(CONCATENATE(E752, ".", F752),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53" spans="1:42" x14ac:dyDescent="0.25">
      <c r="A753" s="1" t="s">
        <v>27</v>
      </c>
      <c r="B753" s="1" t="s">
        <v>43</v>
      </c>
      <c r="C753" s="1" t="s">
        <v>29</v>
      </c>
      <c r="D753" s="1" t="s">
        <v>45</v>
      </c>
      <c r="E753" s="1" t="s">
        <v>120</v>
      </c>
      <c r="F753" s="1" t="s">
        <v>21</v>
      </c>
      <c r="G753" s="1" t="s">
        <v>128</v>
      </c>
      <c r="H753" s="1" t="s">
        <v>227</v>
      </c>
      <c r="I753" s="1" t="s">
        <v>228</v>
      </c>
      <c r="J753" s="1" t="s">
        <v>125</v>
      </c>
      <c r="K753" s="1" t="s">
        <v>163</v>
      </c>
      <c r="L753" s="1">
        <v>2771742</v>
      </c>
      <c r="M753" s="1" t="s">
        <v>938</v>
      </c>
      <c r="N753" s="5">
        <f t="shared" si="276"/>
        <v>44333</v>
      </c>
      <c r="O753" s="5">
        <f>DATE(2023,5,17)</f>
        <v>45063</v>
      </c>
      <c r="P753" s="5">
        <f t="shared" si="253"/>
        <v>46158</v>
      </c>
      <c r="Q753" s="1">
        <v>1367</v>
      </c>
      <c r="R753" s="1">
        <v>1200</v>
      </c>
      <c r="S753" s="1">
        <f t="shared" si="254"/>
        <v>1200</v>
      </c>
      <c r="T753" s="1">
        <v>2.5</v>
      </c>
      <c r="U753" s="1" t="str">
        <f t="shared" si="255"/>
        <v>SIM</v>
      </c>
      <c r="V753" s="1">
        <f t="shared" si="256"/>
        <v>731</v>
      </c>
      <c r="W753" s="4">
        <f t="shared" si="257"/>
        <v>1.6415868673050615</v>
      </c>
      <c r="X753" s="4">
        <f t="shared" si="258"/>
        <v>599.17920656634749</v>
      </c>
      <c r="Y753" s="4">
        <f t="shared" si="259"/>
        <v>0.74897400820793436</v>
      </c>
      <c r="AB753" s="5">
        <f t="shared" si="260"/>
        <v>45292</v>
      </c>
      <c r="AC753" s="5">
        <f t="shared" si="261"/>
        <v>45657</v>
      </c>
      <c r="AD753" s="1">
        <v>14</v>
      </c>
      <c r="AE753" s="1">
        <f t="shared" si="262"/>
        <v>0</v>
      </c>
      <c r="AF753" s="1">
        <f t="shared" si="263"/>
        <v>0</v>
      </c>
      <c r="AG753" s="1">
        <f t="shared" si="264"/>
        <v>0</v>
      </c>
      <c r="AH753" s="1">
        <f t="shared" si="265"/>
        <v>0</v>
      </c>
      <c r="AI753" s="1">
        <f t="shared" si="266"/>
        <v>183</v>
      </c>
      <c r="AJ753" s="3">
        <f t="shared" si="267"/>
        <v>0.5</v>
      </c>
      <c r="AK753" s="3">
        <f t="shared" si="268"/>
        <v>0.37448700410396718</v>
      </c>
      <c r="AL753" s="3">
        <f t="shared" si="269"/>
        <v>2.6214090287277703</v>
      </c>
      <c r="AM753" s="3">
        <f t="shared" si="270"/>
        <v>6.5535225718194257</v>
      </c>
      <c r="AN753" s="3">
        <f t="shared" si="271"/>
        <v>0</v>
      </c>
      <c r="AO753" s="3">
        <f t="shared" si="272"/>
        <v>6.5535225718194257</v>
      </c>
      <c r="AP753" s="1" t="str">
        <f>INDEX({"EAD";"EAD";"EAD";"EAD MOOC";"EAD";"EAD";"EAD FP";"EAD";"PRESENCIAL";"PRESENCIAL";"PRESENCIAL";"PRESENCIAL"}, MATCH(CONCATENATE(E753, ".", F753),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54" spans="1:42" x14ac:dyDescent="0.25">
      <c r="A754" s="1" t="s">
        <v>27</v>
      </c>
      <c r="B754" s="1" t="s">
        <v>43</v>
      </c>
      <c r="C754" s="1" t="s">
        <v>29</v>
      </c>
      <c r="D754" s="1" t="s">
        <v>45</v>
      </c>
      <c r="E754" s="1" t="s">
        <v>120</v>
      </c>
      <c r="F754" s="1" t="s">
        <v>21</v>
      </c>
      <c r="G754" s="1" t="s">
        <v>128</v>
      </c>
      <c r="H754" s="1" t="s">
        <v>890</v>
      </c>
      <c r="I754" s="1" t="s">
        <v>191</v>
      </c>
      <c r="J754" s="1" t="s">
        <v>125</v>
      </c>
      <c r="K754" s="1" t="s">
        <v>163</v>
      </c>
      <c r="L754" s="1">
        <v>2771747</v>
      </c>
      <c r="M754" s="1" t="s">
        <v>939</v>
      </c>
      <c r="N754" s="5">
        <f t="shared" si="276"/>
        <v>44333</v>
      </c>
      <c r="O754" s="5">
        <f>DATE(2023,5,17)</f>
        <v>45063</v>
      </c>
      <c r="P754" s="5">
        <f t="shared" si="253"/>
        <v>46158</v>
      </c>
      <c r="Q754" s="1">
        <v>1343</v>
      </c>
      <c r="R754" s="1">
        <v>1200</v>
      </c>
      <c r="S754" s="1">
        <f t="shared" si="254"/>
        <v>1200</v>
      </c>
      <c r="T754" s="1">
        <v>2.5</v>
      </c>
      <c r="U754" s="1" t="str">
        <f t="shared" si="255"/>
        <v>SIM</v>
      </c>
      <c r="V754" s="1">
        <f t="shared" si="256"/>
        <v>731</v>
      </c>
      <c r="W754" s="4">
        <f t="shared" si="257"/>
        <v>1.6415868673050615</v>
      </c>
      <c r="X754" s="4">
        <f t="shared" si="258"/>
        <v>599.17920656634749</v>
      </c>
      <c r="Y754" s="4">
        <f t="shared" si="259"/>
        <v>0.74897400820793436</v>
      </c>
      <c r="AB754" s="5">
        <f t="shared" si="260"/>
        <v>45292</v>
      </c>
      <c r="AC754" s="5">
        <f t="shared" si="261"/>
        <v>45657</v>
      </c>
      <c r="AD754" s="1">
        <v>1</v>
      </c>
      <c r="AE754" s="1">
        <f t="shared" si="262"/>
        <v>0</v>
      </c>
      <c r="AF754" s="1">
        <f t="shared" si="263"/>
        <v>0</v>
      </c>
      <c r="AG754" s="1">
        <f t="shared" si="264"/>
        <v>0</v>
      </c>
      <c r="AH754" s="1">
        <f t="shared" si="265"/>
        <v>0</v>
      </c>
      <c r="AI754" s="1">
        <f t="shared" si="266"/>
        <v>183</v>
      </c>
      <c r="AJ754" s="3">
        <f t="shared" si="267"/>
        <v>0.5</v>
      </c>
      <c r="AK754" s="3">
        <f t="shared" si="268"/>
        <v>0.37448700410396718</v>
      </c>
      <c r="AL754" s="3">
        <f t="shared" si="269"/>
        <v>0.18724350205198359</v>
      </c>
      <c r="AM754" s="3">
        <f t="shared" si="270"/>
        <v>0.46810875512995898</v>
      </c>
      <c r="AN754" s="3">
        <f t="shared" si="271"/>
        <v>0</v>
      </c>
      <c r="AO754" s="3">
        <f t="shared" si="272"/>
        <v>0.46810875512995898</v>
      </c>
      <c r="AP754" s="1" t="str">
        <f>INDEX({"EAD";"EAD";"EAD";"EAD MOOC";"EAD";"EAD";"EAD FP";"EAD";"PRESENCIAL";"PRESENCIAL";"PRESENCIAL";"PRESENCIAL"}, MATCH(CONCATENATE(E754, ".", F754),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55" spans="1:42" x14ac:dyDescent="0.25">
      <c r="A755" s="1" t="s">
        <v>27</v>
      </c>
      <c r="B755" s="1" t="s">
        <v>43</v>
      </c>
      <c r="C755" s="1" t="s">
        <v>29</v>
      </c>
      <c r="D755" s="1" t="s">
        <v>45</v>
      </c>
      <c r="E755" s="1" t="s">
        <v>120</v>
      </c>
      <c r="F755" s="1" t="s">
        <v>21</v>
      </c>
      <c r="G755" s="1" t="s">
        <v>128</v>
      </c>
      <c r="H755" s="1" t="s">
        <v>227</v>
      </c>
      <c r="I755" s="1" t="s">
        <v>228</v>
      </c>
      <c r="J755" s="1" t="s">
        <v>125</v>
      </c>
      <c r="K755" s="1" t="s">
        <v>163</v>
      </c>
      <c r="L755" s="1">
        <v>2817975</v>
      </c>
      <c r="M755" s="1" t="s">
        <v>940</v>
      </c>
      <c r="N755" s="5">
        <f>DATE(2021,10,25)</f>
        <v>44494</v>
      </c>
      <c r="O755" s="5">
        <f>DATE(2023,7,31)</f>
        <v>45138</v>
      </c>
      <c r="P755" s="5">
        <f t="shared" si="253"/>
        <v>46233</v>
      </c>
      <c r="Q755" s="1">
        <v>1367</v>
      </c>
      <c r="R755" s="1">
        <v>1200</v>
      </c>
      <c r="S755" s="1">
        <f t="shared" si="254"/>
        <v>1200</v>
      </c>
      <c r="T755" s="1">
        <v>2.5</v>
      </c>
      <c r="U755" s="1" t="str">
        <f t="shared" si="255"/>
        <v>SIM</v>
      </c>
      <c r="V755" s="1">
        <f t="shared" si="256"/>
        <v>645</v>
      </c>
      <c r="W755" s="4">
        <f t="shared" si="257"/>
        <v>1.8604651162790697</v>
      </c>
      <c r="X755" s="4">
        <f t="shared" si="258"/>
        <v>679.06976744186045</v>
      </c>
      <c r="Y755" s="4">
        <f t="shared" si="259"/>
        <v>0.84883720930232553</v>
      </c>
      <c r="AB755" s="5">
        <f t="shared" si="260"/>
        <v>45292</v>
      </c>
      <c r="AC755" s="5">
        <f t="shared" si="261"/>
        <v>45657</v>
      </c>
      <c r="AD755" s="1">
        <v>8</v>
      </c>
      <c r="AE755" s="1">
        <f t="shared" si="262"/>
        <v>0</v>
      </c>
      <c r="AF755" s="1">
        <f t="shared" si="263"/>
        <v>0</v>
      </c>
      <c r="AG755" s="1">
        <f t="shared" si="264"/>
        <v>0</v>
      </c>
      <c r="AH755" s="1">
        <f t="shared" si="265"/>
        <v>0</v>
      </c>
      <c r="AI755" s="1">
        <f t="shared" si="266"/>
        <v>183</v>
      </c>
      <c r="AJ755" s="3">
        <f t="shared" si="267"/>
        <v>0.5</v>
      </c>
      <c r="AK755" s="3">
        <f t="shared" si="268"/>
        <v>0.42441860465116277</v>
      </c>
      <c r="AL755" s="3">
        <f t="shared" si="269"/>
        <v>1.6976744186046511</v>
      </c>
      <c r="AM755" s="3">
        <f t="shared" si="270"/>
        <v>4.2441860465116275</v>
      </c>
      <c r="AN755" s="3">
        <f t="shared" si="271"/>
        <v>0</v>
      </c>
      <c r="AO755" s="3">
        <f t="shared" si="272"/>
        <v>4.2441860465116275</v>
      </c>
      <c r="AP755" s="1" t="str">
        <f>INDEX({"EAD";"EAD";"EAD";"EAD MOOC";"EAD";"EAD";"EAD FP";"EAD";"PRESENCIAL";"PRESENCIAL";"PRESENCIAL";"PRESENCIAL"}, MATCH(CONCATENATE(E755, ".", F755),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56" spans="1:42" x14ac:dyDescent="0.25">
      <c r="A756" s="1" t="s">
        <v>27</v>
      </c>
      <c r="B756" s="1" t="s">
        <v>43</v>
      </c>
      <c r="C756" s="1" t="s">
        <v>29</v>
      </c>
      <c r="D756" s="1" t="s">
        <v>45</v>
      </c>
      <c r="E756" s="1" t="s">
        <v>120</v>
      </c>
      <c r="F756" s="1" t="s">
        <v>21</v>
      </c>
      <c r="G756" s="1" t="s">
        <v>128</v>
      </c>
      <c r="H756" s="1" t="s">
        <v>907</v>
      </c>
      <c r="I756" s="1" t="s">
        <v>224</v>
      </c>
      <c r="J756" s="1" t="s">
        <v>125</v>
      </c>
      <c r="K756" s="1" t="s">
        <v>130</v>
      </c>
      <c r="L756" s="1">
        <v>2817980</v>
      </c>
      <c r="M756" s="1" t="s">
        <v>941</v>
      </c>
      <c r="N756" s="5">
        <f>DATE(2021,10,25)</f>
        <v>44494</v>
      </c>
      <c r="O756" s="5">
        <f>DATE(2024,7,31)</f>
        <v>45504</v>
      </c>
      <c r="P756" s="5">
        <f t="shared" si="253"/>
        <v>46599</v>
      </c>
      <c r="Q756" s="1">
        <v>3689</v>
      </c>
      <c r="R756" s="1">
        <v>1200</v>
      </c>
      <c r="S756" s="1">
        <f t="shared" si="254"/>
        <v>3200</v>
      </c>
      <c r="T756" s="1">
        <v>1.5</v>
      </c>
      <c r="U756" s="1" t="str">
        <f t="shared" si="255"/>
        <v>SIM</v>
      </c>
      <c r="V756" s="1">
        <f t="shared" si="256"/>
        <v>1011</v>
      </c>
      <c r="W756" s="4">
        <f t="shared" si="257"/>
        <v>3.1651829871414443</v>
      </c>
      <c r="X756" s="4">
        <f t="shared" si="258"/>
        <v>1155.2917903066273</v>
      </c>
      <c r="Y756" s="4">
        <f t="shared" si="259"/>
        <v>1.4441147378832841</v>
      </c>
      <c r="AB756" s="5">
        <f t="shared" si="260"/>
        <v>45292</v>
      </c>
      <c r="AC756" s="5">
        <f t="shared" si="261"/>
        <v>45657</v>
      </c>
      <c r="AD756" s="1">
        <v>28</v>
      </c>
      <c r="AE756" s="1">
        <f t="shared" si="262"/>
        <v>0</v>
      </c>
      <c r="AF756" s="1">
        <f t="shared" si="263"/>
        <v>0</v>
      </c>
      <c r="AG756" s="1">
        <f t="shared" si="264"/>
        <v>213</v>
      </c>
      <c r="AH756" s="1">
        <f t="shared" si="265"/>
        <v>0</v>
      </c>
      <c r="AI756" s="1">
        <f t="shared" si="266"/>
        <v>0</v>
      </c>
      <c r="AJ756" s="3">
        <f t="shared" si="267"/>
        <v>0.58196721311475408</v>
      </c>
      <c r="AK756" s="3">
        <f t="shared" si="268"/>
        <v>0.84042742942387849</v>
      </c>
      <c r="AL756" s="3">
        <f t="shared" si="269"/>
        <v>23.531968023868597</v>
      </c>
      <c r="AM756" s="3">
        <f t="shared" si="270"/>
        <v>35.297952035802894</v>
      </c>
      <c r="AN756" s="3">
        <f t="shared" si="271"/>
        <v>0</v>
      </c>
      <c r="AO756" s="3">
        <f t="shared" si="272"/>
        <v>35.297952035802894</v>
      </c>
      <c r="AP756" s="1" t="str">
        <f>INDEX({"EAD";"EAD";"EAD";"EAD MOOC";"EAD";"EAD";"EAD FP";"EAD";"PRESENCIAL";"PRESENCIAL";"PRESENCIAL";"PRESENCIAL"}, MATCH(CONCATENATE(E756, ".", F756),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57" spans="1:42" x14ac:dyDescent="0.25">
      <c r="A757" s="1" t="s">
        <v>27</v>
      </c>
      <c r="B757" s="1" t="s">
        <v>43</v>
      </c>
      <c r="C757" s="1" t="s">
        <v>29</v>
      </c>
      <c r="D757" s="1" t="s">
        <v>45</v>
      </c>
      <c r="E757" s="1" t="s">
        <v>120</v>
      </c>
      <c r="F757" s="1" t="s">
        <v>21</v>
      </c>
      <c r="G757" s="1" t="s">
        <v>128</v>
      </c>
      <c r="H757" s="1" t="s">
        <v>890</v>
      </c>
      <c r="I757" s="1" t="s">
        <v>191</v>
      </c>
      <c r="J757" s="1" t="s">
        <v>125</v>
      </c>
      <c r="K757" s="1" t="s">
        <v>130</v>
      </c>
      <c r="L757" s="1">
        <v>2817982</v>
      </c>
      <c r="M757" s="1" t="s">
        <v>942</v>
      </c>
      <c r="N757" s="5">
        <f>DATE(2021,10,25)</f>
        <v>44494</v>
      </c>
      <c r="O757" s="5">
        <f>DATE(2024,7,31)</f>
        <v>45504</v>
      </c>
      <c r="P757" s="5">
        <f t="shared" si="253"/>
        <v>46599</v>
      </c>
      <c r="Q757" s="1">
        <v>3689</v>
      </c>
      <c r="R757" s="1">
        <v>1200</v>
      </c>
      <c r="S757" s="1">
        <f t="shared" si="254"/>
        <v>3200</v>
      </c>
      <c r="T757" s="1">
        <v>2.5</v>
      </c>
      <c r="U757" s="1" t="str">
        <f t="shared" si="255"/>
        <v>SIM</v>
      </c>
      <c r="V757" s="1">
        <f t="shared" si="256"/>
        <v>1011</v>
      </c>
      <c r="W757" s="4">
        <f t="shared" si="257"/>
        <v>3.1651829871414443</v>
      </c>
      <c r="X757" s="4">
        <f t="shared" si="258"/>
        <v>1155.2917903066273</v>
      </c>
      <c r="Y757" s="4">
        <f t="shared" si="259"/>
        <v>1.4441147378832841</v>
      </c>
      <c r="AB757" s="5">
        <f t="shared" si="260"/>
        <v>45292</v>
      </c>
      <c r="AC757" s="5">
        <f t="shared" si="261"/>
        <v>45657</v>
      </c>
      <c r="AD757" s="1">
        <v>30</v>
      </c>
      <c r="AE757" s="1">
        <f t="shared" si="262"/>
        <v>0</v>
      </c>
      <c r="AF757" s="1">
        <f t="shared" si="263"/>
        <v>0</v>
      </c>
      <c r="AG757" s="1">
        <f t="shared" si="264"/>
        <v>213</v>
      </c>
      <c r="AH757" s="1">
        <f t="shared" si="265"/>
        <v>0</v>
      </c>
      <c r="AI757" s="1">
        <f t="shared" si="266"/>
        <v>0</v>
      </c>
      <c r="AJ757" s="3">
        <f t="shared" si="267"/>
        <v>0.58196721311475408</v>
      </c>
      <c r="AK757" s="3">
        <f t="shared" si="268"/>
        <v>0.84042742942387849</v>
      </c>
      <c r="AL757" s="3">
        <f t="shared" si="269"/>
        <v>25.212822882716356</v>
      </c>
      <c r="AM757" s="3">
        <f t="shared" si="270"/>
        <v>63.032057206790888</v>
      </c>
      <c r="AN757" s="3">
        <f t="shared" si="271"/>
        <v>0</v>
      </c>
      <c r="AO757" s="3">
        <f t="shared" si="272"/>
        <v>63.032057206790888</v>
      </c>
      <c r="AP757" s="1" t="str">
        <f>INDEX({"EAD";"EAD";"EAD";"EAD MOOC";"EAD";"EAD";"EAD FP";"EAD";"PRESENCIAL";"PRESENCIAL";"PRESENCIAL";"PRESENCIAL"}, MATCH(CONCATENATE(E757, ".", F757),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58" spans="1:42" x14ac:dyDescent="0.25">
      <c r="A758" s="1" t="s">
        <v>27</v>
      </c>
      <c r="B758" s="1" t="s">
        <v>43</v>
      </c>
      <c r="C758" s="1" t="s">
        <v>29</v>
      </c>
      <c r="D758" s="1" t="s">
        <v>45</v>
      </c>
      <c r="E758" s="1" t="s">
        <v>120</v>
      </c>
      <c r="F758" s="1" t="s">
        <v>21</v>
      </c>
      <c r="G758" s="1" t="s">
        <v>140</v>
      </c>
      <c r="H758" s="1" t="s">
        <v>865</v>
      </c>
      <c r="I758" s="1" t="s">
        <v>224</v>
      </c>
      <c r="J758" s="1" t="s">
        <v>125</v>
      </c>
      <c r="K758" s="1" t="s">
        <v>109</v>
      </c>
      <c r="L758" s="1">
        <v>2818006</v>
      </c>
      <c r="M758" s="1" t="s">
        <v>943</v>
      </c>
      <c r="N758" s="5">
        <f>DATE(2021,10,25)</f>
        <v>44494</v>
      </c>
      <c r="O758" s="5">
        <f>DATE(2023,7,31)</f>
        <v>45138</v>
      </c>
      <c r="P758" s="5">
        <f t="shared" si="253"/>
        <v>46233</v>
      </c>
      <c r="Q758" s="1">
        <v>2160</v>
      </c>
      <c r="R758" s="1">
        <v>1600</v>
      </c>
      <c r="S758" s="1">
        <f t="shared" si="254"/>
        <v>1600</v>
      </c>
      <c r="T758" s="1">
        <v>1</v>
      </c>
      <c r="U758" s="1" t="str">
        <f t="shared" si="255"/>
        <v>SIM</v>
      </c>
      <c r="V758" s="1">
        <f t="shared" si="256"/>
        <v>645</v>
      </c>
      <c r="W758" s="4">
        <f t="shared" si="257"/>
        <v>2.4806201550387597</v>
      </c>
      <c r="X758" s="4">
        <f t="shared" si="258"/>
        <v>905.4263565891473</v>
      </c>
      <c r="Y758" s="4">
        <f t="shared" si="259"/>
        <v>1.1317829457364341</v>
      </c>
      <c r="AB758" s="5">
        <f t="shared" si="260"/>
        <v>45292</v>
      </c>
      <c r="AC758" s="5">
        <f t="shared" si="261"/>
        <v>45657</v>
      </c>
      <c r="AD758" s="1">
        <v>6</v>
      </c>
      <c r="AE758" s="1">
        <f t="shared" si="262"/>
        <v>0</v>
      </c>
      <c r="AF758" s="1">
        <f t="shared" si="263"/>
        <v>0</v>
      </c>
      <c r="AG758" s="1">
        <f t="shared" si="264"/>
        <v>0</v>
      </c>
      <c r="AH758" s="1">
        <f t="shared" si="265"/>
        <v>0</v>
      </c>
      <c r="AI758" s="1">
        <f t="shared" si="266"/>
        <v>183</v>
      </c>
      <c r="AJ758" s="3">
        <f t="shared" si="267"/>
        <v>0.5</v>
      </c>
      <c r="AK758" s="3">
        <f t="shared" si="268"/>
        <v>0.56589147286821706</v>
      </c>
      <c r="AL758" s="3">
        <f t="shared" si="269"/>
        <v>1.6976744186046511</v>
      </c>
      <c r="AM758" s="3">
        <f t="shared" si="270"/>
        <v>1.6976744186046511</v>
      </c>
      <c r="AN758" s="3">
        <f t="shared" si="271"/>
        <v>0</v>
      </c>
      <c r="AO758" s="3">
        <f t="shared" si="272"/>
        <v>1.6976744186046511</v>
      </c>
      <c r="AP758" s="1" t="str">
        <f>INDEX({"EAD";"EAD";"EAD";"EAD MOOC";"EAD";"EAD";"EAD FP";"EAD";"PRESENCIAL";"PRESENCIAL";"PRESENCIAL";"PRESENCIAL"}, MATCH(CONCATENATE(E758, ".", F758),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59" spans="1:42" x14ac:dyDescent="0.25">
      <c r="A759" s="1" t="s">
        <v>27</v>
      </c>
      <c r="B759" s="1" t="s">
        <v>43</v>
      </c>
      <c r="C759" s="1" t="s">
        <v>29</v>
      </c>
      <c r="D759" s="1" t="s">
        <v>45</v>
      </c>
      <c r="E759" s="1" t="s">
        <v>120</v>
      </c>
      <c r="F759" s="1" t="s">
        <v>21</v>
      </c>
      <c r="G759" s="1" t="s">
        <v>121</v>
      </c>
      <c r="H759" s="1" t="s">
        <v>869</v>
      </c>
      <c r="I759" s="1" t="s">
        <v>228</v>
      </c>
      <c r="J759" s="1" t="s">
        <v>125</v>
      </c>
      <c r="K759" s="1" t="s">
        <v>109</v>
      </c>
      <c r="L759" s="1">
        <v>2818009</v>
      </c>
      <c r="M759" s="1" t="s">
        <v>944</v>
      </c>
      <c r="N759" s="5">
        <f>DATE(2021,10,25)</f>
        <v>44494</v>
      </c>
      <c r="O759" s="5">
        <f>DATE(2026,7,31)</f>
        <v>46234</v>
      </c>
      <c r="P759" s="5">
        <f t="shared" si="253"/>
        <v>47329</v>
      </c>
      <c r="Q759" s="1">
        <v>4020</v>
      </c>
      <c r="R759" s="1">
        <v>3600</v>
      </c>
      <c r="S759" s="1">
        <f t="shared" si="254"/>
        <v>3600</v>
      </c>
      <c r="T759" s="1">
        <v>2.5</v>
      </c>
      <c r="U759" s="1" t="str">
        <f t="shared" si="255"/>
        <v>SIM</v>
      </c>
      <c r="V759" s="1">
        <f t="shared" si="256"/>
        <v>1741</v>
      </c>
      <c r="W759" s="4">
        <f t="shared" si="257"/>
        <v>2.0677771395749569</v>
      </c>
      <c r="X759" s="4">
        <f t="shared" si="258"/>
        <v>754.73865594485926</v>
      </c>
      <c r="Y759" s="4">
        <f t="shared" si="259"/>
        <v>0.94342331993107409</v>
      </c>
      <c r="AB759" s="5">
        <f t="shared" si="260"/>
        <v>45292</v>
      </c>
      <c r="AC759" s="5">
        <f t="shared" si="261"/>
        <v>45657</v>
      </c>
      <c r="AD759" s="1">
        <v>14</v>
      </c>
      <c r="AE759" s="1">
        <f t="shared" si="262"/>
        <v>366</v>
      </c>
      <c r="AF759" s="1">
        <f t="shared" si="263"/>
        <v>0</v>
      </c>
      <c r="AG759" s="1">
        <f t="shared" si="264"/>
        <v>0</v>
      </c>
      <c r="AH759" s="1">
        <f t="shared" si="265"/>
        <v>0</v>
      </c>
      <c r="AI759" s="1">
        <f t="shared" si="266"/>
        <v>0</v>
      </c>
      <c r="AJ759" s="3">
        <f t="shared" si="267"/>
        <v>1</v>
      </c>
      <c r="AK759" s="3">
        <f t="shared" si="268"/>
        <v>0.94342331993107409</v>
      </c>
      <c r="AL759" s="3">
        <f t="shared" si="269"/>
        <v>13.207926479035038</v>
      </c>
      <c r="AM759" s="3">
        <f t="shared" si="270"/>
        <v>33.019816197587595</v>
      </c>
      <c r="AN759" s="3">
        <f t="shared" si="271"/>
        <v>0</v>
      </c>
      <c r="AO759" s="3">
        <f t="shared" si="272"/>
        <v>33.019816197587595</v>
      </c>
      <c r="AP759" s="1" t="str">
        <f>INDEX({"EAD";"EAD";"EAD";"EAD MOOC";"EAD";"EAD";"EAD FP";"EAD";"PRESENCIAL";"PRESENCIAL";"PRESENCIAL";"PRESENCIAL"}, MATCH(CONCATENATE(E759, ".", F759),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60" spans="1:42" x14ac:dyDescent="0.25">
      <c r="A760" s="1" t="s">
        <v>27</v>
      </c>
      <c r="B760" s="1" t="s">
        <v>43</v>
      </c>
      <c r="C760" s="1" t="s">
        <v>29</v>
      </c>
      <c r="D760" s="1" t="s">
        <v>45</v>
      </c>
      <c r="E760" s="1" t="s">
        <v>120</v>
      </c>
      <c r="F760" s="1" t="s">
        <v>21</v>
      </c>
      <c r="G760" s="1" t="s">
        <v>128</v>
      </c>
      <c r="H760" s="1" t="s">
        <v>907</v>
      </c>
      <c r="I760" s="1" t="s">
        <v>224</v>
      </c>
      <c r="J760" s="1" t="s">
        <v>125</v>
      </c>
      <c r="K760" s="1" t="s">
        <v>130</v>
      </c>
      <c r="L760" s="1">
        <v>2867644</v>
      </c>
      <c r="M760" s="1" t="s">
        <v>945</v>
      </c>
      <c r="N760" s="5">
        <f t="shared" ref="N760:N765" si="277">DATE(2022,4,25)</f>
        <v>44676</v>
      </c>
      <c r="O760" s="5">
        <f>DATE(2024,12,20)</f>
        <v>45646</v>
      </c>
      <c r="P760" s="5">
        <f t="shared" si="253"/>
        <v>46741</v>
      </c>
      <c r="Q760" s="1">
        <v>3689</v>
      </c>
      <c r="R760" s="1">
        <v>1200</v>
      </c>
      <c r="S760" s="1">
        <f t="shared" si="254"/>
        <v>3200</v>
      </c>
      <c r="T760" s="1">
        <v>1.5</v>
      </c>
      <c r="U760" s="1" t="str">
        <f t="shared" si="255"/>
        <v>SIM</v>
      </c>
      <c r="V760" s="1">
        <f t="shared" si="256"/>
        <v>971</v>
      </c>
      <c r="W760" s="4">
        <f t="shared" si="257"/>
        <v>3.2955715756951598</v>
      </c>
      <c r="X760" s="4">
        <f t="shared" si="258"/>
        <v>1202.8836251287332</v>
      </c>
      <c r="Y760" s="4">
        <f t="shared" si="259"/>
        <v>1.5036045314109165</v>
      </c>
      <c r="AB760" s="5">
        <f t="shared" si="260"/>
        <v>45292</v>
      </c>
      <c r="AC760" s="5">
        <f t="shared" si="261"/>
        <v>45657</v>
      </c>
      <c r="AD760" s="1">
        <v>35</v>
      </c>
      <c r="AE760" s="1">
        <f t="shared" si="262"/>
        <v>0</v>
      </c>
      <c r="AF760" s="1">
        <f t="shared" si="263"/>
        <v>0</v>
      </c>
      <c r="AG760" s="1">
        <f t="shared" si="264"/>
        <v>355</v>
      </c>
      <c r="AH760" s="1">
        <f t="shared" si="265"/>
        <v>0</v>
      </c>
      <c r="AI760" s="1">
        <f t="shared" si="266"/>
        <v>0</v>
      </c>
      <c r="AJ760" s="3">
        <f t="shared" si="267"/>
        <v>0.9699453551912568</v>
      </c>
      <c r="AK760" s="3">
        <f t="shared" si="268"/>
        <v>1.4584142312865447</v>
      </c>
      <c r="AL760" s="3">
        <f t="shared" si="269"/>
        <v>51.044498095029063</v>
      </c>
      <c r="AM760" s="3">
        <f t="shared" si="270"/>
        <v>76.566747142543591</v>
      </c>
      <c r="AN760" s="3">
        <f t="shared" si="271"/>
        <v>0</v>
      </c>
      <c r="AO760" s="3">
        <f t="shared" si="272"/>
        <v>76.566747142543591</v>
      </c>
      <c r="AP760" s="1" t="str">
        <f>INDEX({"EAD";"EAD";"EAD";"EAD MOOC";"EAD";"EAD";"EAD FP";"EAD";"PRESENCIAL";"PRESENCIAL";"PRESENCIAL";"PRESENCIAL"}, MATCH(CONCATENATE(E760, ".", F760),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61" spans="1:42" x14ac:dyDescent="0.25">
      <c r="A761" s="1" t="s">
        <v>27</v>
      </c>
      <c r="B761" s="1" t="s">
        <v>43</v>
      </c>
      <c r="C761" s="1" t="s">
        <v>29</v>
      </c>
      <c r="D761" s="1" t="s">
        <v>45</v>
      </c>
      <c r="E761" s="1" t="s">
        <v>120</v>
      </c>
      <c r="F761" s="1" t="s">
        <v>21</v>
      </c>
      <c r="G761" s="1" t="s">
        <v>128</v>
      </c>
      <c r="H761" s="1" t="s">
        <v>890</v>
      </c>
      <c r="I761" s="1" t="s">
        <v>191</v>
      </c>
      <c r="J761" s="1" t="s">
        <v>125</v>
      </c>
      <c r="K761" s="1" t="s">
        <v>130</v>
      </c>
      <c r="L761" s="1">
        <v>2867646</v>
      </c>
      <c r="M761" s="1" t="s">
        <v>946</v>
      </c>
      <c r="N761" s="5">
        <f t="shared" si="277"/>
        <v>44676</v>
      </c>
      <c r="O761" s="5">
        <f>DATE(2024,12,20)</f>
        <v>45646</v>
      </c>
      <c r="P761" s="5">
        <f t="shared" si="253"/>
        <v>46741</v>
      </c>
      <c r="Q761" s="1">
        <v>3689</v>
      </c>
      <c r="R761" s="1">
        <v>1200</v>
      </c>
      <c r="S761" s="1">
        <f t="shared" si="254"/>
        <v>3200</v>
      </c>
      <c r="T761" s="1">
        <v>2.5</v>
      </c>
      <c r="U761" s="1" t="str">
        <f t="shared" si="255"/>
        <v>SIM</v>
      </c>
      <c r="V761" s="1">
        <f t="shared" si="256"/>
        <v>971</v>
      </c>
      <c r="W761" s="4">
        <f t="shared" si="257"/>
        <v>3.2955715756951598</v>
      </c>
      <c r="X761" s="4">
        <f t="shared" si="258"/>
        <v>1202.8836251287332</v>
      </c>
      <c r="Y761" s="4">
        <f t="shared" si="259"/>
        <v>1.5036045314109165</v>
      </c>
      <c r="AB761" s="5">
        <f t="shared" si="260"/>
        <v>45292</v>
      </c>
      <c r="AC761" s="5">
        <f t="shared" si="261"/>
        <v>45657</v>
      </c>
      <c r="AD761" s="1">
        <v>35</v>
      </c>
      <c r="AE761" s="1">
        <f t="shared" si="262"/>
        <v>0</v>
      </c>
      <c r="AF761" s="1">
        <f t="shared" si="263"/>
        <v>0</v>
      </c>
      <c r="AG761" s="1">
        <f t="shared" si="264"/>
        <v>355</v>
      </c>
      <c r="AH761" s="1">
        <f t="shared" si="265"/>
        <v>0</v>
      </c>
      <c r="AI761" s="1">
        <f t="shared" si="266"/>
        <v>0</v>
      </c>
      <c r="AJ761" s="3">
        <f t="shared" si="267"/>
        <v>0.9699453551912568</v>
      </c>
      <c r="AK761" s="3">
        <f t="shared" si="268"/>
        <v>1.4584142312865447</v>
      </c>
      <c r="AL761" s="3">
        <f t="shared" si="269"/>
        <v>51.044498095029063</v>
      </c>
      <c r="AM761" s="3">
        <f t="shared" si="270"/>
        <v>127.61124523757266</v>
      </c>
      <c r="AN761" s="3">
        <f t="shared" si="271"/>
        <v>0</v>
      </c>
      <c r="AO761" s="3">
        <f t="shared" si="272"/>
        <v>127.61124523757266</v>
      </c>
      <c r="AP761" s="1" t="str">
        <f>INDEX({"EAD";"EAD";"EAD";"EAD MOOC";"EAD";"EAD";"EAD FP";"EAD";"PRESENCIAL";"PRESENCIAL";"PRESENCIAL";"PRESENCIAL"}, MATCH(CONCATENATE(E761, ".", F761),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62" spans="1:42" x14ac:dyDescent="0.25">
      <c r="A762" s="1" t="s">
        <v>27</v>
      </c>
      <c r="B762" s="1" t="s">
        <v>43</v>
      </c>
      <c r="C762" s="1" t="s">
        <v>29</v>
      </c>
      <c r="D762" s="1" t="s">
        <v>45</v>
      </c>
      <c r="E762" s="1" t="s">
        <v>120</v>
      </c>
      <c r="F762" s="1" t="s">
        <v>21</v>
      </c>
      <c r="G762" s="1" t="s">
        <v>128</v>
      </c>
      <c r="H762" s="1" t="s">
        <v>227</v>
      </c>
      <c r="I762" s="1" t="s">
        <v>228</v>
      </c>
      <c r="J762" s="1" t="s">
        <v>125</v>
      </c>
      <c r="K762" s="1" t="s">
        <v>163</v>
      </c>
      <c r="L762" s="1">
        <v>2867682</v>
      </c>
      <c r="M762" s="1" t="s">
        <v>947</v>
      </c>
      <c r="N762" s="5">
        <f t="shared" si="277"/>
        <v>44676</v>
      </c>
      <c r="O762" s="5">
        <f>DATE(2023,12,15)</f>
        <v>45275</v>
      </c>
      <c r="P762" s="5">
        <f t="shared" si="253"/>
        <v>46370</v>
      </c>
      <c r="Q762" s="1">
        <v>1367</v>
      </c>
      <c r="R762" s="1">
        <v>1200</v>
      </c>
      <c r="S762" s="1">
        <f t="shared" si="254"/>
        <v>1200</v>
      </c>
      <c r="T762" s="1">
        <v>2.5</v>
      </c>
      <c r="U762" s="1" t="str">
        <f t="shared" si="255"/>
        <v>SIM</v>
      </c>
      <c r="V762" s="1">
        <f t="shared" si="256"/>
        <v>600</v>
      </c>
      <c r="W762" s="4">
        <f t="shared" si="257"/>
        <v>2</v>
      </c>
      <c r="X762" s="4">
        <f t="shared" si="258"/>
        <v>730</v>
      </c>
      <c r="Y762" s="4">
        <f t="shared" si="259"/>
        <v>0.91249999999999998</v>
      </c>
      <c r="AB762" s="5">
        <f t="shared" si="260"/>
        <v>45292</v>
      </c>
      <c r="AC762" s="5">
        <f t="shared" si="261"/>
        <v>45657</v>
      </c>
      <c r="AD762" s="1">
        <v>20</v>
      </c>
      <c r="AE762" s="1">
        <f t="shared" si="262"/>
        <v>0</v>
      </c>
      <c r="AF762" s="1">
        <f t="shared" si="263"/>
        <v>0</v>
      </c>
      <c r="AG762" s="1">
        <f t="shared" si="264"/>
        <v>0</v>
      </c>
      <c r="AH762" s="1">
        <f t="shared" si="265"/>
        <v>0</v>
      </c>
      <c r="AI762" s="1">
        <f t="shared" si="266"/>
        <v>183</v>
      </c>
      <c r="AJ762" s="3">
        <f t="shared" si="267"/>
        <v>0.5</v>
      </c>
      <c r="AK762" s="3">
        <f t="shared" si="268"/>
        <v>0.45624999999999999</v>
      </c>
      <c r="AL762" s="3">
        <f t="shared" si="269"/>
        <v>4.5625</v>
      </c>
      <c r="AM762" s="3">
        <f t="shared" si="270"/>
        <v>11.40625</v>
      </c>
      <c r="AN762" s="3">
        <f t="shared" si="271"/>
        <v>0</v>
      </c>
      <c r="AO762" s="3">
        <f t="shared" si="272"/>
        <v>11.40625</v>
      </c>
      <c r="AP762" s="1" t="str">
        <f>INDEX({"EAD";"EAD";"EAD";"EAD MOOC";"EAD";"EAD";"EAD FP";"EAD";"PRESENCIAL";"PRESENCIAL";"PRESENCIAL";"PRESENCIAL"}, MATCH(CONCATENATE(E762, ".", F762),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63" spans="1:42" x14ac:dyDescent="0.25">
      <c r="A763" s="1" t="s">
        <v>27</v>
      </c>
      <c r="B763" s="1" t="s">
        <v>43</v>
      </c>
      <c r="C763" s="1" t="s">
        <v>29</v>
      </c>
      <c r="D763" s="1" t="s">
        <v>45</v>
      </c>
      <c r="E763" s="1" t="s">
        <v>120</v>
      </c>
      <c r="F763" s="1" t="s">
        <v>21</v>
      </c>
      <c r="G763" s="1" t="s">
        <v>128</v>
      </c>
      <c r="H763" s="1" t="s">
        <v>890</v>
      </c>
      <c r="I763" s="1" t="s">
        <v>191</v>
      </c>
      <c r="J763" s="1" t="s">
        <v>125</v>
      </c>
      <c r="K763" s="1" t="s">
        <v>163</v>
      </c>
      <c r="L763" s="1">
        <v>2867683</v>
      </c>
      <c r="M763" s="1" t="s">
        <v>948</v>
      </c>
      <c r="N763" s="5">
        <f t="shared" si="277"/>
        <v>44676</v>
      </c>
      <c r="O763" s="5">
        <f>DATE(2023,12,15)</f>
        <v>45275</v>
      </c>
      <c r="P763" s="5">
        <f t="shared" si="253"/>
        <v>46370</v>
      </c>
      <c r="Q763" s="1">
        <v>1343</v>
      </c>
      <c r="R763" s="1">
        <v>1200</v>
      </c>
      <c r="S763" s="1">
        <f t="shared" si="254"/>
        <v>1200</v>
      </c>
      <c r="T763" s="1">
        <v>2.5</v>
      </c>
      <c r="U763" s="1" t="str">
        <f t="shared" si="255"/>
        <v>SIM</v>
      </c>
      <c r="V763" s="1">
        <f t="shared" si="256"/>
        <v>600</v>
      </c>
      <c r="W763" s="4">
        <f t="shared" si="257"/>
        <v>2</v>
      </c>
      <c r="X763" s="4">
        <f t="shared" si="258"/>
        <v>730</v>
      </c>
      <c r="Y763" s="4">
        <f t="shared" si="259"/>
        <v>0.91249999999999998</v>
      </c>
      <c r="AB763" s="5">
        <f t="shared" si="260"/>
        <v>45292</v>
      </c>
      <c r="AC763" s="5">
        <f t="shared" si="261"/>
        <v>45657</v>
      </c>
      <c r="AD763" s="1">
        <v>5</v>
      </c>
      <c r="AE763" s="1">
        <f t="shared" si="262"/>
        <v>0</v>
      </c>
      <c r="AF763" s="1">
        <f t="shared" si="263"/>
        <v>0</v>
      </c>
      <c r="AG763" s="1">
        <f t="shared" si="264"/>
        <v>0</v>
      </c>
      <c r="AH763" s="1">
        <f t="shared" si="265"/>
        <v>0</v>
      </c>
      <c r="AI763" s="1">
        <f t="shared" si="266"/>
        <v>183</v>
      </c>
      <c r="AJ763" s="3">
        <f t="shared" si="267"/>
        <v>0.5</v>
      </c>
      <c r="AK763" s="3">
        <f t="shared" si="268"/>
        <v>0.45624999999999999</v>
      </c>
      <c r="AL763" s="3">
        <f t="shared" si="269"/>
        <v>1.140625</v>
      </c>
      <c r="AM763" s="3">
        <f t="shared" si="270"/>
        <v>2.8515625</v>
      </c>
      <c r="AN763" s="3">
        <f t="shared" si="271"/>
        <v>0</v>
      </c>
      <c r="AO763" s="3">
        <f t="shared" si="272"/>
        <v>2.8515625</v>
      </c>
      <c r="AP763" s="1" t="str">
        <f>INDEX({"EAD";"EAD";"EAD";"EAD MOOC";"EAD";"EAD";"EAD FP";"EAD";"PRESENCIAL";"PRESENCIAL";"PRESENCIAL";"PRESENCIAL"}, MATCH(CONCATENATE(E763, ".", F763),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64" spans="1:42" x14ac:dyDescent="0.25">
      <c r="A764" s="1" t="s">
        <v>27</v>
      </c>
      <c r="B764" s="1" t="s">
        <v>43</v>
      </c>
      <c r="C764" s="1" t="s">
        <v>29</v>
      </c>
      <c r="D764" s="1" t="s">
        <v>45</v>
      </c>
      <c r="E764" s="1" t="s">
        <v>120</v>
      </c>
      <c r="F764" s="1" t="s">
        <v>21</v>
      </c>
      <c r="G764" s="1" t="s">
        <v>140</v>
      </c>
      <c r="H764" s="1" t="s">
        <v>865</v>
      </c>
      <c r="I764" s="1" t="s">
        <v>224</v>
      </c>
      <c r="J764" s="1" t="s">
        <v>125</v>
      </c>
      <c r="K764" s="1" t="s">
        <v>109</v>
      </c>
      <c r="L764" s="1">
        <v>2867685</v>
      </c>
      <c r="M764" s="1" t="s">
        <v>949</v>
      </c>
      <c r="N764" s="5">
        <f t="shared" si="277"/>
        <v>44676</v>
      </c>
      <c r="O764" s="5">
        <f>DATE(2024,12,20)</f>
        <v>45646</v>
      </c>
      <c r="P764" s="5">
        <f t="shared" si="253"/>
        <v>46741</v>
      </c>
      <c r="Q764" s="1">
        <v>1680</v>
      </c>
      <c r="R764" s="1">
        <v>1600</v>
      </c>
      <c r="S764" s="1">
        <f t="shared" si="254"/>
        <v>1600</v>
      </c>
      <c r="T764" s="1">
        <v>1</v>
      </c>
      <c r="U764" s="1" t="str">
        <f t="shared" si="255"/>
        <v>SIM</v>
      </c>
      <c r="V764" s="1">
        <f t="shared" si="256"/>
        <v>971</v>
      </c>
      <c r="W764" s="4">
        <f t="shared" si="257"/>
        <v>1.6477857878475799</v>
      </c>
      <c r="X764" s="4">
        <f t="shared" si="258"/>
        <v>601.44181256436661</v>
      </c>
      <c r="Y764" s="4">
        <f t="shared" si="259"/>
        <v>0.75180226570545827</v>
      </c>
      <c r="AB764" s="5">
        <f t="shared" si="260"/>
        <v>45292</v>
      </c>
      <c r="AC764" s="5">
        <f t="shared" si="261"/>
        <v>45657</v>
      </c>
      <c r="AD764" s="1">
        <v>11</v>
      </c>
      <c r="AE764" s="1">
        <f t="shared" si="262"/>
        <v>0</v>
      </c>
      <c r="AF764" s="1">
        <f t="shared" si="263"/>
        <v>0</v>
      </c>
      <c r="AG764" s="1">
        <f t="shared" si="264"/>
        <v>355</v>
      </c>
      <c r="AH764" s="1">
        <f t="shared" si="265"/>
        <v>0</v>
      </c>
      <c r="AI764" s="1">
        <f t="shared" si="266"/>
        <v>0</v>
      </c>
      <c r="AJ764" s="3">
        <f t="shared" si="267"/>
        <v>0.9699453551912568</v>
      </c>
      <c r="AK764" s="3">
        <f t="shared" si="268"/>
        <v>0.72920711564327234</v>
      </c>
      <c r="AL764" s="3">
        <f t="shared" si="269"/>
        <v>8.0212782720759961</v>
      </c>
      <c r="AM764" s="3">
        <f t="shared" si="270"/>
        <v>8.0212782720759961</v>
      </c>
      <c r="AN764" s="3">
        <f t="shared" si="271"/>
        <v>0</v>
      </c>
      <c r="AO764" s="3">
        <f t="shared" si="272"/>
        <v>8.0212782720759961</v>
      </c>
      <c r="AP764" s="1" t="str">
        <f>INDEX({"EAD";"EAD";"EAD";"EAD MOOC";"EAD";"EAD";"EAD FP";"EAD";"PRESENCIAL";"PRESENCIAL";"PRESENCIAL";"PRESENCIAL"}, MATCH(CONCATENATE(E764, ".", F764),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65" spans="1:42" x14ac:dyDescent="0.25">
      <c r="A765" s="1" t="s">
        <v>27</v>
      </c>
      <c r="B765" s="1" t="s">
        <v>43</v>
      </c>
      <c r="C765" s="1" t="s">
        <v>29</v>
      </c>
      <c r="D765" s="1" t="s">
        <v>45</v>
      </c>
      <c r="E765" s="1" t="s">
        <v>120</v>
      </c>
      <c r="F765" s="1" t="s">
        <v>21</v>
      </c>
      <c r="G765" s="1" t="s">
        <v>121</v>
      </c>
      <c r="H765" s="1" t="s">
        <v>869</v>
      </c>
      <c r="I765" s="1" t="s">
        <v>228</v>
      </c>
      <c r="J765" s="1" t="s">
        <v>125</v>
      </c>
      <c r="K765" s="1" t="s">
        <v>109</v>
      </c>
      <c r="L765" s="1">
        <v>2867687</v>
      </c>
      <c r="M765" s="1" t="s">
        <v>950</v>
      </c>
      <c r="N765" s="5">
        <f t="shared" si="277"/>
        <v>44676</v>
      </c>
      <c r="O765" s="5">
        <f>DATE(2026,12,18)</f>
        <v>46374</v>
      </c>
      <c r="P765" s="5">
        <f t="shared" si="253"/>
        <v>47469</v>
      </c>
      <c r="Q765" s="1">
        <v>3780</v>
      </c>
      <c r="R765" s="1">
        <v>3600</v>
      </c>
      <c r="S765" s="1">
        <f t="shared" si="254"/>
        <v>3600</v>
      </c>
      <c r="T765" s="1">
        <v>2.5</v>
      </c>
      <c r="U765" s="1" t="str">
        <f t="shared" si="255"/>
        <v>SIM</v>
      </c>
      <c r="V765" s="1">
        <f t="shared" si="256"/>
        <v>1699</v>
      </c>
      <c r="W765" s="4">
        <f t="shared" si="257"/>
        <v>2.1188934667451442</v>
      </c>
      <c r="X765" s="4">
        <f t="shared" si="258"/>
        <v>773.39611536197765</v>
      </c>
      <c r="Y765" s="4">
        <f t="shared" si="259"/>
        <v>0.96674514420247204</v>
      </c>
      <c r="AB765" s="5">
        <f t="shared" si="260"/>
        <v>45292</v>
      </c>
      <c r="AC765" s="5">
        <f t="shared" si="261"/>
        <v>45657</v>
      </c>
      <c r="AD765" s="1">
        <v>13</v>
      </c>
      <c r="AE765" s="1">
        <f t="shared" si="262"/>
        <v>366</v>
      </c>
      <c r="AF765" s="1">
        <f t="shared" si="263"/>
        <v>0</v>
      </c>
      <c r="AG765" s="1">
        <f t="shared" si="264"/>
        <v>0</v>
      </c>
      <c r="AH765" s="1">
        <f t="shared" si="265"/>
        <v>0</v>
      </c>
      <c r="AI765" s="1">
        <f t="shared" si="266"/>
        <v>0</v>
      </c>
      <c r="AJ765" s="3">
        <f t="shared" si="267"/>
        <v>1</v>
      </c>
      <c r="AK765" s="3">
        <f t="shared" si="268"/>
        <v>0.96674514420247204</v>
      </c>
      <c r="AL765" s="3">
        <f t="shared" si="269"/>
        <v>12.567686874632136</v>
      </c>
      <c r="AM765" s="3">
        <f t="shared" si="270"/>
        <v>31.41921718658034</v>
      </c>
      <c r="AN765" s="3">
        <f t="shared" si="271"/>
        <v>0</v>
      </c>
      <c r="AO765" s="3">
        <f t="shared" si="272"/>
        <v>31.41921718658034</v>
      </c>
      <c r="AP765" s="1" t="str">
        <f>INDEX({"EAD";"EAD";"EAD";"EAD MOOC";"EAD";"EAD";"EAD FP";"EAD";"PRESENCIAL";"PRESENCIAL";"PRESENCIAL";"PRESENCIAL"}, MATCH(CONCATENATE(E765, ".", F765),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66" spans="1:42" x14ac:dyDescent="0.25">
      <c r="A766" s="1" t="s">
        <v>27</v>
      </c>
      <c r="B766" s="1" t="s">
        <v>43</v>
      </c>
      <c r="C766" s="1" t="s">
        <v>29</v>
      </c>
      <c r="D766" s="1" t="s">
        <v>45</v>
      </c>
      <c r="E766" s="1" t="s">
        <v>120</v>
      </c>
      <c r="F766" s="1" t="s">
        <v>21</v>
      </c>
      <c r="G766" s="1" t="s">
        <v>727</v>
      </c>
      <c r="H766" s="1" t="s">
        <v>919</v>
      </c>
      <c r="I766" s="1" t="s">
        <v>224</v>
      </c>
      <c r="J766" s="1" t="s">
        <v>125</v>
      </c>
      <c r="K766" s="1" t="s">
        <v>109</v>
      </c>
      <c r="L766" s="1">
        <v>2877906</v>
      </c>
      <c r="M766" s="1" t="s">
        <v>951</v>
      </c>
      <c r="N766" s="5">
        <f>DATE(2022,5,16)</f>
        <v>44697</v>
      </c>
      <c r="O766" s="5">
        <f>DATE(2023,12,22)</f>
        <v>45282</v>
      </c>
      <c r="P766" s="5">
        <f t="shared" si="253"/>
        <v>46377</v>
      </c>
      <c r="Q766" s="1">
        <v>360</v>
      </c>
      <c r="R766" s="1">
        <v>360</v>
      </c>
      <c r="S766" s="1">
        <f t="shared" si="254"/>
        <v>360</v>
      </c>
      <c r="T766" s="1">
        <v>3.75</v>
      </c>
      <c r="U766" s="1" t="str">
        <f t="shared" si="255"/>
        <v>SIM</v>
      </c>
      <c r="V766" s="1">
        <f t="shared" si="256"/>
        <v>586</v>
      </c>
      <c r="W766" s="4">
        <f t="shared" si="257"/>
        <v>0.61433447098976113</v>
      </c>
      <c r="X766" s="4">
        <f t="shared" si="258"/>
        <v>224.23208191126281</v>
      </c>
      <c r="Y766" s="4">
        <f t="shared" si="259"/>
        <v>0.28029010238907853</v>
      </c>
      <c r="AB766" s="5">
        <f t="shared" si="260"/>
        <v>45292</v>
      </c>
      <c r="AC766" s="5">
        <f t="shared" si="261"/>
        <v>45657</v>
      </c>
      <c r="AD766" s="1">
        <v>11</v>
      </c>
      <c r="AE766" s="1">
        <f t="shared" si="262"/>
        <v>0</v>
      </c>
      <c r="AF766" s="1">
        <f t="shared" si="263"/>
        <v>0</v>
      </c>
      <c r="AG766" s="1">
        <f t="shared" si="264"/>
        <v>0</v>
      </c>
      <c r="AH766" s="1">
        <f t="shared" si="265"/>
        <v>0</v>
      </c>
      <c r="AI766" s="1">
        <f t="shared" si="266"/>
        <v>183</v>
      </c>
      <c r="AJ766" s="3">
        <f t="shared" si="267"/>
        <v>0.5</v>
      </c>
      <c r="AK766" s="3">
        <f t="shared" si="268"/>
        <v>0.14014505119453927</v>
      </c>
      <c r="AL766" s="3">
        <f t="shared" si="269"/>
        <v>0.77079778156996592</v>
      </c>
      <c r="AM766" s="3">
        <f t="shared" si="270"/>
        <v>2.8904916808873722</v>
      </c>
      <c r="AN766" s="3">
        <f t="shared" si="271"/>
        <v>0</v>
      </c>
      <c r="AO766" s="3">
        <f t="shared" si="272"/>
        <v>2.8904916808873722</v>
      </c>
      <c r="AP766" s="1" t="str">
        <f>INDEX({"EAD";"EAD";"EAD";"EAD MOOC";"EAD";"EAD";"EAD FP";"EAD";"PRESENCIAL";"PRESENCIAL";"PRESENCIAL";"PRESENCIAL"}, MATCH(CONCATENATE(E766, ".", F766),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67" spans="1:42" x14ac:dyDescent="0.25">
      <c r="A767" s="1" t="s">
        <v>27</v>
      </c>
      <c r="B767" s="1" t="s">
        <v>43</v>
      </c>
      <c r="C767" s="1" t="s">
        <v>29</v>
      </c>
      <c r="D767" s="1" t="s">
        <v>45</v>
      </c>
      <c r="E767" s="1" t="s">
        <v>120</v>
      </c>
      <c r="F767" s="1" t="s">
        <v>21</v>
      </c>
      <c r="G767" s="1" t="s">
        <v>665</v>
      </c>
      <c r="H767" s="1" t="s">
        <v>952</v>
      </c>
      <c r="I767" s="1" t="s">
        <v>503</v>
      </c>
      <c r="J767" s="1" t="s">
        <v>125</v>
      </c>
      <c r="K767" s="1" t="s">
        <v>109</v>
      </c>
      <c r="L767" s="1">
        <v>2895780</v>
      </c>
      <c r="M767" s="1" t="s">
        <v>953</v>
      </c>
      <c r="N767" s="5">
        <f>DATE(2022,8,1)</f>
        <v>44774</v>
      </c>
      <c r="O767" s="5">
        <f>DATE(2024,8,30)</f>
        <v>45534</v>
      </c>
      <c r="P767" s="5">
        <f t="shared" si="253"/>
        <v>46629</v>
      </c>
      <c r="Q767" s="1">
        <v>360</v>
      </c>
      <c r="R767" s="1">
        <v>360</v>
      </c>
      <c r="S767" s="1">
        <f t="shared" si="254"/>
        <v>360</v>
      </c>
      <c r="T767" s="1">
        <v>3.75</v>
      </c>
      <c r="U767" s="1" t="str">
        <f t="shared" si="255"/>
        <v>SIM</v>
      </c>
      <c r="V767" s="1">
        <f t="shared" si="256"/>
        <v>761</v>
      </c>
      <c r="W767" s="4">
        <f t="shared" si="257"/>
        <v>0.47306176084099871</v>
      </c>
      <c r="X767" s="4">
        <f t="shared" si="258"/>
        <v>172.66754270696453</v>
      </c>
      <c r="Y767" s="4">
        <f t="shared" si="259"/>
        <v>0.21583442838370565</v>
      </c>
      <c r="AB767" s="5">
        <f t="shared" si="260"/>
        <v>45292</v>
      </c>
      <c r="AC767" s="5">
        <f t="shared" si="261"/>
        <v>45657</v>
      </c>
      <c r="AD767" s="1">
        <v>3</v>
      </c>
      <c r="AE767" s="1">
        <f t="shared" si="262"/>
        <v>0</v>
      </c>
      <c r="AF767" s="1">
        <f t="shared" si="263"/>
        <v>0</v>
      </c>
      <c r="AG767" s="1">
        <f t="shared" si="264"/>
        <v>243</v>
      </c>
      <c r="AH767" s="1">
        <f t="shared" si="265"/>
        <v>0</v>
      </c>
      <c r="AI767" s="1">
        <f t="shared" si="266"/>
        <v>0</v>
      </c>
      <c r="AJ767" s="3">
        <f t="shared" si="267"/>
        <v>0.66393442622950816</v>
      </c>
      <c r="AK767" s="3">
        <f t="shared" si="268"/>
        <v>0.14329990736950948</v>
      </c>
      <c r="AL767" s="3">
        <f t="shared" si="269"/>
        <v>0.42989972210852845</v>
      </c>
      <c r="AM767" s="3">
        <f t="shared" si="270"/>
        <v>1.6121239579069817</v>
      </c>
      <c r="AN767" s="3">
        <f t="shared" si="271"/>
        <v>0</v>
      </c>
      <c r="AO767" s="3">
        <f t="shared" si="272"/>
        <v>1.6121239579069817</v>
      </c>
      <c r="AP767" s="1" t="str">
        <f>INDEX({"EAD";"EAD";"EAD";"EAD MOOC";"EAD";"EAD";"EAD FP";"EAD";"PRESENCIAL";"PRESENCIAL";"PRESENCIAL";"PRESENCIAL"}, MATCH(CONCATENATE(E767, ".", F767),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68" spans="1:42" x14ac:dyDescent="0.25">
      <c r="A768" s="1" t="s">
        <v>27</v>
      </c>
      <c r="B768" s="1" t="s">
        <v>43</v>
      </c>
      <c r="C768" s="1" t="s">
        <v>29</v>
      </c>
      <c r="D768" s="1" t="s">
        <v>45</v>
      </c>
      <c r="E768" s="1" t="s">
        <v>120</v>
      </c>
      <c r="F768" s="1" t="s">
        <v>21</v>
      </c>
      <c r="G768" s="1" t="s">
        <v>128</v>
      </c>
      <c r="H768" s="1" t="s">
        <v>227</v>
      </c>
      <c r="I768" s="1" t="s">
        <v>228</v>
      </c>
      <c r="J768" s="1" t="s">
        <v>125</v>
      </c>
      <c r="K768" s="1" t="s">
        <v>163</v>
      </c>
      <c r="L768" s="1">
        <v>2914577</v>
      </c>
      <c r="M768" s="1" t="s">
        <v>954</v>
      </c>
      <c r="N768" s="5">
        <f t="shared" ref="N768:N773" si="278">DATE(2022,9,22)</f>
        <v>44826</v>
      </c>
      <c r="O768" s="5">
        <f>DATE(2024,7,31)</f>
        <v>45504</v>
      </c>
      <c r="P768" s="5">
        <f t="shared" si="253"/>
        <v>46599</v>
      </c>
      <c r="Q768" s="1">
        <v>1367</v>
      </c>
      <c r="R768" s="1">
        <v>1200</v>
      </c>
      <c r="S768" s="1">
        <f t="shared" si="254"/>
        <v>1200</v>
      </c>
      <c r="T768" s="1">
        <v>2.5</v>
      </c>
      <c r="U768" s="1" t="str">
        <f t="shared" si="255"/>
        <v>SIM</v>
      </c>
      <c r="V768" s="1">
        <f t="shared" si="256"/>
        <v>679</v>
      </c>
      <c r="W768" s="4">
        <f t="shared" si="257"/>
        <v>1.7673048600883652</v>
      </c>
      <c r="X768" s="4">
        <f t="shared" si="258"/>
        <v>645.06627393225324</v>
      </c>
      <c r="Y768" s="4">
        <f t="shared" si="259"/>
        <v>0.80633284241531655</v>
      </c>
      <c r="AB768" s="5">
        <f t="shared" si="260"/>
        <v>45292</v>
      </c>
      <c r="AC768" s="5">
        <f t="shared" si="261"/>
        <v>45657</v>
      </c>
      <c r="AD768" s="1">
        <v>21</v>
      </c>
      <c r="AE768" s="1">
        <f t="shared" si="262"/>
        <v>0</v>
      </c>
      <c r="AF768" s="1">
        <f t="shared" si="263"/>
        <v>0</v>
      </c>
      <c r="AG768" s="1">
        <f t="shared" si="264"/>
        <v>213</v>
      </c>
      <c r="AH768" s="1">
        <f t="shared" si="265"/>
        <v>0</v>
      </c>
      <c r="AI768" s="1">
        <f t="shared" si="266"/>
        <v>0</v>
      </c>
      <c r="AJ768" s="3">
        <f t="shared" si="267"/>
        <v>0.58196721311475408</v>
      </c>
      <c r="AK768" s="3">
        <f t="shared" si="268"/>
        <v>0.46925927714333993</v>
      </c>
      <c r="AL768" s="3">
        <f t="shared" si="269"/>
        <v>9.8544448200101389</v>
      </c>
      <c r="AM768" s="3">
        <f t="shared" si="270"/>
        <v>24.636112050025346</v>
      </c>
      <c r="AN768" s="3">
        <f t="shared" si="271"/>
        <v>0</v>
      </c>
      <c r="AO768" s="3">
        <f t="shared" si="272"/>
        <v>24.636112050025346</v>
      </c>
      <c r="AP768" s="1" t="str">
        <f>INDEX({"EAD";"EAD";"EAD";"EAD MOOC";"EAD";"EAD";"EAD FP";"EAD";"PRESENCIAL";"PRESENCIAL";"PRESENCIAL";"PRESENCIAL"}, MATCH(CONCATENATE(E768, ".", F768),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69" spans="1:42" x14ac:dyDescent="0.25">
      <c r="A769" s="1" t="s">
        <v>27</v>
      </c>
      <c r="B769" s="1" t="s">
        <v>43</v>
      </c>
      <c r="C769" s="1" t="s">
        <v>29</v>
      </c>
      <c r="D769" s="1" t="s">
        <v>45</v>
      </c>
      <c r="E769" s="1" t="s">
        <v>120</v>
      </c>
      <c r="F769" s="1" t="s">
        <v>21</v>
      </c>
      <c r="G769" s="1" t="s">
        <v>128</v>
      </c>
      <c r="H769" s="1" t="s">
        <v>907</v>
      </c>
      <c r="I769" s="1" t="s">
        <v>224</v>
      </c>
      <c r="J769" s="1" t="s">
        <v>125</v>
      </c>
      <c r="K769" s="1" t="s">
        <v>130</v>
      </c>
      <c r="L769" s="1">
        <v>2914729</v>
      </c>
      <c r="M769" s="1" t="s">
        <v>955</v>
      </c>
      <c r="N769" s="5">
        <f t="shared" si="278"/>
        <v>44826</v>
      </c>
      <c r="O769" s="5">
        <f>DATE(2025,7,31)</f>
        <v>45869</v>
      </c>
      <c r="P769" s="5">
        <f t="shared" si="253"/>
        <v>46964</v>
      </c>
      <c r="Q769" s="1">
        <v>3689</v>
      </c>
      <c r="R769" s="1">
        <v>1200</v>
      </c>
      <c r="S769" s="1">
        <f t="shared" si="254"/>
        <v>3200</v>
      </c>
      <c r="T769" s="1">
        <v>1.5</v>
      </c>
      <c r="U769" s="1" t="str">
        <f t="shared" si="255"/>
        <v>SIM</v>
      </c>
      <c r="V769" s="1">
        <f t="shared" si="256"/>
        <v>1044</v>
      </c>
      <c r="W769" s="4">
        <f t="shared" si="257"/>
        <v>3.0651340996168583</v>
      </c>
      <c r="X769" s="4">
        <f t="shared" si="258"/>
        <v>1118.7739463601533</v>
      </c>
      <c r="Y769" s="4">
        <f t="shared" si="259"/>
        <v>1.3984674329501916</v>
      </c>
      <c r="AB769" s="5">
        <f t="shared" si="260"/>
        <v>45292</v>
      </c>
      <c r="AC769" s="5">
        <f t="shared" si="261"/>
        <v>45657</v>
      </c>
      <c r="AD769" s="1">
        <v>33</v>
      </c>
      <c r="AE769" s="1">
        <f t="shared" si="262"/>
        <v>366</v>
      </c>
      <c r="AF769" s="1">
        <f t="shared" si="263"/>
        <v>0</v>
      </c>
      <c r="AG769" s="1">
        <f t="shared" si="264"/>
        <v>0</v>
      </c>
      <c r="AH769" s="1">
        <f t="shared" si="265"/>
        <v>0</v>
      </c>
      <c r="AI769" s="1">
        <f t="shared" si="266"/>
        <v>0</v>
      </c>
      <c r="AJ769" s="3">
        <f t="shared" si="267"/>
        <v>1</v>
      </c>
      <c r="AK769" s="3">
        <f t="shared" si="268"/>
        <v>1.3984674329501916</v>
      </c>
      <c r="AL769" s="3">
        <f t="shared" si="269"/>
        <v>46.149425287356323</v>
      </c>
      <c r="AM769" s="3">
        <f t="shared" si="270"/>
        <v>69.224137931034477</v>
      </c>
      <c r="AN769" s="3">
        <f t="shared" si="271"/>
        <v>0</v>
      </c>
      <c r="AO769" s="3">
        <f t="shared" si="272"/>
        <v>69.224137931034477</v>
      </c>
      <c r="AP769" s="1" t="str">
        <f>INDEX({"EAD";"EAD";"EAD";"EAD MOOC";"EAD";"EAD";"EAD FP";"EAD";"PRESENCIAL";"PRESENCIAL";"PRESENCIAL";"PRESENCIAL"}, MATCH(CONCATENATE(E769, ".", F769),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70" spans="1:42" x14ac:dyDescent="0.25">
      <c r="A770" s="1" t="s">
        <v>27</v>
      </c>
      <c r="B770" s="1" t="s">
        <v>43</v>
      </c>
      <c r="C770" s="1" t="s">
        <v>29</v>
      </c>
      <c r="D770" s="1" t="s">
        <v>45</v>
      </c>
      <c r="E770" s="1" t="s">
        <v>120</v>
      </c>
      <c r="F770" s="1" t="s">
        <v>21</v>
      </c>
      <c r="G770" s="1" t="s">
        <v>128</v>
      </c>
      <c r="H770" s="1" t="s">
        <v>890</v>
      </c>
      <c r="I770" s="1" t="s">
        <v>191</v>
      </c>
      <c r="J770" s="1" t="s">
        <v>125</v>
      </c>
      <c r="K770" s="1" t="s">
        <v>130</v>
      </c>
      <c r="L770" s="1">
        <v>2914731</v>
      </c>
      <c r="M770" s="1" t="s">
        <v>956</v>
      </c>
      <c r="N770" s="5">
        <f t="shared" si="278"/>
        <v>44826</v>
      </c>
      <c r="O770" s="5">
        <f>DATE(2025,7,31)</f>
        <v>45869</v>
      </c>
      <c r="P770" s="5">
        <f t="shared" si="253"/>
        <v>46964</v>
      </c>
      <c r="Q770" s="1">
        <v>3689</v>
      </c>
      <c r="R770" s="1">
        <v>1200</v>
      </c>
      <c r="S770" s="1">
        <f t="shared" si="254"/>
        <v>3200</v>
      </c>
      <c r="T770" s="1">
        <v>2.5</v>
      </c>
      <c r="U770" s="1" t="str">
        <f t="shared" si="255"/>
        <v>SIM</v>
      </c>
      <c r="V770" s="1">
        <f t="shared" si="256"/>
        <v>1044</v>
      </c>
      <c r="W770" s="4">
        <f t="shared" si="257"/>
        <v>3.0651340996168583</v>
      </c>
      <c r="X770" s="4">
        <f t="shared" si="258"/>
        <v>1118.7739463601533</v>
      </c>
      <c r="Y770" s="4">
        <f t="shared" si="259"/>
        <v>1.3984674329501916</v>
      </c>
      <c r="AB770" s="5">
        <f t="shared" si="260"/>
        <v>45292</v>
      </c>
      <c r="AC770" s="5">
        <f t="shared" si="261"/>
        <v>45657</v>
      </c>
      <c r="AD770" s="1">
        <v>32</v>
      </c>
      <c r="AE770" s="1">
        <f t="shared" si="262"/>
        <v>366</v>
      </c>
      <c r="AF770" s="1">
        <f t="shared" si="263"/>
        <v>0</v>
      </c>
      <c r="AG770" s="1">
        <f t="shared" si="264"/>
        <v>0</v>
      </c>
      <c r="AH770" s="1">
        <f t="shared" si="265"/>
        <v>0</v>
      </c>
      <c r="AI770" s="1">
        <f t="shared" si="266"/>
        <v>0</v>
      </c>
      <c r="AJ770" s="3">
        <f t="shared" si="267"/>
        <v>1</v>
      </c>
      <c r="AK770" s="3">
        <f t="shared" si="268"/>
        <v>1.3984674329501916</v>
      </c>
      <c r="AL770" s="3">
        <f t="shared" si="269"/>
        <v>44.750957854406131</v>
      </c>
      <c r="AM770" s="3">
        <f t="shared" si="270"/>
        <v>111.87739463601532</v>
      </c>
      <c r="AN770" s="3">
        <f t="shared" si="271"/>
        <v>0</v>
      </c>
      <c r="AO770" s="3">
        <f t="shared" si="272"/>
        <v>111.87739463601532</v>
      </c>
      <c r="AP770" s="1" t="str">
        <f>INDEX({"EAD";"EAD";"EAD";"EAD MOOC";"EAD";"EAD";"EAD FP";"EAD";"PRESENCIAL";"PRESENCIAL";"PRESENCIAL";"PRESENCIAL"}, MATCH(CONCATENATE(E770, ".", F770),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71" spans="1:42" x14ac:dyDescent="0.25">
      <c r="A771" s="1" t="s">
        <v>27</v>
      </c>
      <c r="B771" s="1" t="s">
        <v>43</v>
      </c>
      <c r="C771" s="1" t="s">
        <v>29</v>
      </c>
      <c r="D771" s="1" t="s">
        <v>45</v>
      </c>
      <c r="E771" s="1" t="s">
        <v>120</v>
      </c>
      <c r="F771" s="1" t="s">
        <v>21</v>
      </c>
      <c r="G771" s="1" t="s">
        <v>140</v>
      </c>
      <c r="H771" s="1" t="s">
        <v>865</v>
      </c>
      <c r="I771" s="1" t="s">
        <v>224</v>
      </c>
      <c r="J771" s="1" t="s">
        <v>125</v>
      </c>
      <c r="K771" s="1" t="s">
        <v>109</v>
      </c>
      <c r="L771" s="1">
        <v>2914735</v>
      </c>
      <c r="M771" s="1" t="s">
        <v>957</v>
      </c>
      <c r="N771" s="5">
        <f t="shared" si="278"/>
        <v>44826</v>
      </c>
      <c r="O771" s="5">
        <f>DATE(2025,7,31)</f>
        <v>45869</v>
      </c>
      <c r="P771" s="5">
        <f t="shared" si="253"/>
        <v>46964</v>
      </c>
      <c r="Q771" s="1">
        <v>1680</v>
      </c>
      <c r="R771" s="1">
        <v>1600</v>
      </c>
      <c r="S771" s="1">
        <f t="shared" si="254"/>
        <v>1600</v>
      </c>
      <c r="T771" s="1">
        <v>1</v>
      </c>
      <c r="U771" s="1" t="str">
        <f t="shared" si="255"/>
        <v>SIM</v>
      </c>
      <c r="V771" s="1">
        <f t="shared" si="256"/>
        <v>1044</v>
      </c>
      <c r="W771" s="4">
        <f t="shared" si="257"/>
        <v>1.5325670498084292</v>
      </c>
      <c r="X771" s="4">
        <f t="shared" si="258"/>
        <v>559.38697318007667</v>
      </c>
      <c r="Y771" s="4">
        <f t="shared" si="259"/>
        <v>0.6992337164750958</v>
      </c>
      <c r="AB771" s="5">
        <f t="shared" si="260"/>
        <v>45292</v>
      </c>
      <c r="AC771" s="5">
        <f t="shared" si="261"/>
        <v>45657</v>
      </c>
      <c r="AD771" s="1">
        <v>16</v>
      </c>
      <c r="AE771" s="1">
        <f t="shared" si="262"/>
        <v>366</v>
      </c>
      <c r="AF771" s="1">
        <f t="shared" si="263"/>
        <v>0</v>
      </c>
      <c r="AG771" s="1">
        <f t="shared" si="264"/>
        <v>0</v>
      </c>
      <c r="AH771" s="1">
        <f t="shared" si="265"/>
        <v>0</v>
      </c>
      <c r="AI771" s="1">
        <f t="shared" si="266"/>
        <v>0</v>
      </c>
      <c r="AJ771" s="3">
        <f t="shared" si="267"/>
        <v>1</v>
      </c>
      <c r="AK771" s="3">
        <f t="shared" si="268"/>
        <v>0.6992337164750958</v>
      </c>
      <c r="AL771" s="3">
        <f t="shared" si="269"/>
        <v>11.187739463601533</v>
      </c>
      <c r="AM771" s="3">
        <f t="shared" si="270"/>
        <v>11.187739463601533</v>
      </c>
      <c r="AN771" s="3">
        <f t="shared" si="271"/>
        <v>0</v>
      </c>
      <c r="AO771" s="3">
        <f t="shared" si="272"/>
        <v>11.187739463601533</v>
      </c>
      <c r="AP771" s="1" t="str">
        <f>INDEX({"EAD";"EAD";"EAD";"EAD MOOC";"EAD";"EAD";"EAD FP";"EAD";"PRESENCIAL";"PRESENCIAL";"PRESENCIAL";"PRESENCIAL"}, MATCH(CONCATENATE(E771, ".", F771),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72" spans="1:42" x14ac:dyDescent="0.25">
      <c r="A772" s="1" t="s">
        <v>27</v>
      </c>
      <c r="B772" s="1" t="s">
        <v>43</v>
      </c>
      <c r="C772" s="1" t="s">
        <v>29</v>
      </c>
      <c r="D772" s="1" t="s">
        <v>45</v>
      </c>
      <c r="E772" s="1" t="s">
        <v>120</v>
      </c>
      <c r="F772" s="1" t="s">
        <v>21</v>
      </c>
      <c r="G772" s="1" t="s">
        <v>121</v>
      </c>
      <c r="H772" s="1" t="s">
        <v>869</v>
      </c>
      <c r="I772" s="1" t="s">
        <v>228</v>
      </c>
      <c r="J772" s="1" t="s">
        <v>125</v>
      </c>
      <c r="K772" s="1" t="s">
        <v>109</v>
      </c>
      <c r="L772" s="1">
        <v>2914756</v>
      </c>
      <c r="M772" s="1" t="s">
        <v>958</v>
      </c>
      <c r="N772" s="5">
        <f t="shared" si="278"/>
        <v>44826</v>
      </c>
      <c r="O772" s="5">
        <f>DATE(2027,7,31)</f>
        <v>46599</v>
      </c>
      <c r="P772" s="5">
        <f t="shared" ref="P772:P835" si="279">IF(G772="QUALIFICACAO PROFISSIONAL (FIC)",O772,O772+1095)</f>
        <v>47694</v>
      </c>
      <c r="Q772" s="1">
        <v>3780</v>
      </c>
      <c r="R772" s="1">
        <v>3600</v>
      </c>
      <c r="S772" s="1">
        <f t="shared" ref="S772:S835" si="280">IF(OR(G772="QUALIFICACAO PROFISSIONAL (FIC)",G772="DOUTORADO"),Q772,    IF(ISNUMBER(FIND("PROEJA",K772)),2400,        IF(K772="INTEGRADO",            IF(R772=800,3000,                IF(R772=1000,3100,                    IF(R772=1200,3200,R772)                )            ),            R772        )    ))</f>
        <v>3600</v>
      </c>
      <c r="T772" s="1">
        <v>2.5</v>
      </c>
      <c r="U772" s="1" t="str">
        <f t="shared" ref="U772:U835" si="281">IF(P772&lt;AB772,"NÃO","SIM")</f>
        <v>SIM</v>
      </c>
      <c r="V772" s="1">
        <f t="shared" ref="V772:V835" si="282">O772-N772+1</f>
        <v>1774</v>
      </c>
      <c r="W772" s="4">
        <f t="shared" ref="W772:W835" si="283">IF(S772&gt;Q772,Q772,S772)/V772</f>
        <v>2.0293122886133035</v>
      </c>
      <c r="X772" s="4">
        <f t="shared" ref="X772:X835" si="284">IF(V772&gt;365,W772*365,S772)</f>
        <v>740.69898534385572</v>
      </c>
      <c r="Y772" s="4">
        <f t="shared" ref="Y772:Y835" si="285">IF(V772&gt;365,X772/800,S772/800)</f>
        <v>0.92587373167981968</v>
      </c>
      <c r="AB772" s="5">
        <f t="shared" ref="AB772:AB835" si="286">DATE(2024,1,1)</f>
        <v>45292</v>
      </c>
      <c r="AC772" s="5">
        <f t="shared" ref="AC772:AC835" si="287">DATE(2024,12,31)</f>
        <v>45657</v>
      </c>
      <c r="AD772" s="1">
        <v>12</v>
      </c>
      <c r="AE772" s="1">
        <f t="shared" ref="AE772:AE835" si="288">IF(AND(N772&lt;AB772,O772&gt;AC772),AC772-AB772+1,0)</f>
        <v>366</v>
      </c>
      <c r="AF772" s="1">
        <f t="shared" ref="AF772:AF835" si="289">IF(AND(N772&gt;=AB772,O772&gt;AC772,N772&lt;AC772),AC772-N772+1,0)</f>
        <v>0</v>
      </c>
      <c r="AG772" s="1">
        <f t="shared" ref="AG772:AG835" si="290">IF(AND(N772&lt;AB772,O772&lt;=AC772,O772&gt;=AB772),O772-AB772+1,0)</f>
        <v>0</v>
      </c>
      <c r="AH772" s="1">
        <f t="shared" ref="AH772:AH835" si="291">IF(AND(N772&gt;=AB772,O772&lt;=AC772),O772-N772+1,0)</f>
        <v>0</v>
      </c>
      <c r="AI772" s="1">
        <f t="shared" ref="AI772:AI835" si="292">IF(AND(N772&lt;AB772,O772&lt;AB772),(AC772-AB772+1)/2,0)</f>
        <v>0</v>
      </c>
      <c r="AJ772" s="3">
        <f t="shared" ref="AJ772:AJ835" si="293">SUM(AE772:AI772)/IF(V772&gt;=365,AC772-AB772+1,V772)</f>
        <v>1</v>
      </c>
      <c r="AK772" s="3">
        <f t="shared" ref="AK772:AK835" si="294">Y772*AJ772</f>
        <v>0.92587373167981968</v>
      </c>
      <c r="AL772" s="3">
        <f t="shared" ref="AL772:AL835" si="295">IF(AI772=0,AK772*AD772,IF(U772="SIM",AK772*(AD772/2),0))</f>
        <v>11.110484780157837</v>
      </c>
      <c r="AM772" s="3">
        <f t="shared" ref="AM772:AM835" si="296">AL772*T772</f>
        <v>27.77621195039459</v>
      </c>
      <c r="AN772" s="3">
        <f t="shared" ref="AN772:AN835" si="297">IF(J772="SIM",AM772*50%,0)</f>
        <v>0</v>
      </c>
      <c r="AO772" s="3">
        <f t="shared" ref="AO772:AO835" si="298">IF(U772="SIM",AM772+AN772,0)</f>
        <v>27.77621195039459</v>
      </c>
      <c r="AP772" s="1" t="str">
        <f>INDEX({"EAD";"EAD";"EAD";"EAD MOOC";"EAD";"EAD";"EAD FP";"EAD";"PRESENCIAL";"PRESENCIAL";"PRESENCIAL";"PRESENCIAL"}, MATCH(CONCATENATE(E772, ".", F772),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73" spans="1:42" x14ac:dyDescent="0.25">
      <c r="A773" s="1" t="s">
        <v>27</v>
      </c>
      <c r="B773" s="1" t="s">
        <v>43</v>
      </c>
      <c r="C773" s="1" t="s">
        <v>29</v>
      </c>
      <c r="D773" s="1" t="s">
        <v>45</v>
      </c>
      <c r="E773" s="1" t="s">
        <v>120</v>
      </c>
      <c r="F773" s="1" t="s">
        <v>21</v>
      </c>
      <c r="G773" s="1" t="s">
        <v>121</v>
      </c>
      <c r="H773" s="1" t="s">
        <v>279</v>
      </c>
      <c r="I773" s="1" t="s">
        <v>191</v>
      </c>
      <c r="J773" s="1" t="s">
        <v>125</v>
      </c>
      <c r="K773" s="1" t="s">
        <v>109</v>
      </c>
      <c r="L773" s="1">
        <v>2914861</v>
      </c>
      <c r="M773" s="1" t="s">
        <v>959</v>
      </c>
      <c r="N773" s="5">
        <f t="shared" si="278"/>
        <v>44826</v>
      </c>
      <c r="O773" s="5">
        <f>DATE(2025,12,31)</f>
        <v>46022</v>
      </c>
      <c r="P773" s="5">
        <f t="shared" si="279"/>
        <v>47117</v>
      </c>
      <c r="Q773" s="1">
        <v>2782</v>
      </c>
      <c r="R773" s="1">
        <v>2400</v>
      </c>
      <c r="S773" s="1">
        <f t="shared" si="280"/>
        <v>2400</v>
      </c>
      <c r="T773" s="1">
        <v>2.5</v>
      </c>
      <c r="U773" s="1" t="str">
        <f t="shared" si="281"/>
        <v>SIM</v>
      </c>
      <c r="V773" s="1">
        <f t="shared" si="282"/>
        <v>1197</v>
      </c>
      <c r="W773" s="4">
        <f t="shared" si="283"/>
        <v>2.0050125313283207</v>
      </c>
      <c r="X773" s="4">
        <f t="shared" si="284"/>
        <v>731.82957393483707</v>
      </c>
      <c r="Y773" s="4">
        <f t="shared" si="285"/>
        <v>0.91478696741854637</v>
      </c>
      <c r="AB773" s="5">
        <f t="shared" si="286"/>
        <v>45292</v>
      </c>
      <c r="AC773" s="5">
        <f t="shared" si="287"/>
        <v>45657</v>
      </c>
      <c r="AD773" s="1">
        <v>25</v>
      </c>
      <c r="AE773" s="1">
        <f t="shared" si="288"/>
        <v>366</v>
      </c>
      <c r="AF773" s="1">
        <f t="shared" si="289"/>
        <v>0</v>
      </c>
      <c r="AG773" s="1">
        <f t="shared" si="290"/>
        <v>0</v>
      </c>
      <c r="AH773" s="1">
        <f t="shared" si="291"/>
        <v>0</v>
      </c>
      <c r="AI773" s="1">
        <f t="shared" si="292"/>
        <v>0</v>
      </c>
      <c r="AJ773" s="3">
        <f t="shared" si="293"/>
        <v>1</v>
      </c>
      <c r="AK773" s="3">
        <f t="shared" si="294"/>
        <v>0.91478696741854637</v>
      </c>
      <c r="AL773" s="3">
        <f t="shared" si="295"/>
        <v>22.869674185463658</v>
      </c>
      <c r="AM773" s="3">
        <f t="shared" si="296"/>
        <v>57.174185463659143</v>
      </c>
      <c r="AN773" s="3">
        <f t="shared" si="297"/>
        <v>0</v>
      </c>
      <c r="AO773" s="3">
        <f t="shared" si="298"/>
        <v>57.174185463659143</v>
      </c>
      <c r="AP773" s="1" t="str">
        <f>INDEX({"EAD";"EAD";"EAD";"EAD MOOC";"EAD";"EAD";"EAD FP";"EAD";"PRESENCIAL";"PRESENCIAL";"PRESENCIAL";"PRESENCIAL"}, MATCH(CONCATENATE(E773, ".", F773),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74" spans="1:42" x14ac:dyDescent="0.25">
      <c r="A774" s="1" t="s">
        <v>27</v>
      </c>
      <c r="B774" s="1" t="s">
        <v>43</v>
      </c>
      <c r="C774" s="1" t="s">
        <v>29</v>
      </c>
      <c r="D774" s="1" t="s">
        <v>45</v>
      </c>
      <c r="E774" s="1" t="s">
        <v>120</v>
      </c>
      <c r="F774" s="1" t="s">
        <v>21</v>
      </c>
      <c r="G774" s="1" t="s">
        <v>140</v>
      </c>
      <c r="H774" s="1" t="s">
        <v>865</v>
      </c>
      <c r="I774" s="1" t="s">
        <v>224</v>
      </c>
      <c r="J774" s="1" t="s">
        <v>125</v>
      </c>
      <c r="K774" s="1" t="s">
        <v>109</v>
      </c>
      <c r="L774" s="1">
        <v>2963387</v>
      </c>
      <c r="M774" s="1" t="s">
        <v>960</v>
      </c>
      <c r="N774" s="5">
        <f t="shared" ref="N774:N779" si="299">DATE(2023,3,9)</f>
        <v>44994</v>
      </c>
      <c r="O774" s="5">
        <f>DATE(2026,7,30)</f>
        <v>46233</v>
      </c>
      <c r="P774" s="5">
        <f t="shared" si="279"/>
        <v>47328</v>
      </c>
      <c r="Q774" s="1">
        <v>1680</v>
      </c>
      <c r="R774" s="1">
        <v>1600</v>
      </c>
      <c r="S774" s="1">
        <f t="shared" si="280"/>
        <v>1600</v>
      </c>
      <c r="T774" s="1">
        <v>1</v>
      </c>
      <c r="U774" s="1" t="str">
        <f t="shared" si="281"/>
        <v>SIM</v>
      </c>
      <c r="V774" s="1">
        <f t="shared" si="282"/>
        <v>1240</v>
      </c>
      <c r="W774" s="4">
        <f t="shared" si="283"/>
        <v>1.2903225806451613</v>
      </c>
      <c r="X774" s="4">
        <f t="shared" si="284"/>
        <v>470.96774193548384</v>
      </c>
      <c r="Y774" s="4">
        <f t="shared" si="285"/>
        <v>0.58870967741935476</v>
      </c>
      <c r="AB774" s="5">
        <f t="shared" si="286"/>
        <v>45292</v>
      </c>
      <c r="AC774" s="5">
        <f t="shared" si="287"/>
        <v>45657</v>
      </c>
      <c r="AD774" s="1">
        <v>22</v>
      </c>
      <c r="AE774" s="1">
        <f t="shared" si="288"/>
        <v>366</v>
      </c>
      <c r="AF774" s="1">
        <f t="shared" si="289"/>
        <v>0</v>
      </c>
      <c r="AG774" s="1">
        <f t="shared" si="290"/>
        <v>0</v>
      </c>
      <c r="AH774" s="1">
        <f t="shared" si="291"/>
        <v>0</v>
      </c>
      <c r="AI774" s="1">
        <f t="shared" si="292"/>
        <v>0</v>
      </c>
      <c r="AJ774" s="3">
        <f t="shared" si="293"/>
        <v>1</v>
      </c>
      <c r="AK774" s="3">
        <f t="shared" si="294"/>
        <v>0.58870967741935476</v>
      </c>
      <c r="AL774" s="3">
        <f t="shared" si="295"/>
        <v>12.951612903225804</v>
      </c>
      <c r="AM774" s="3">
        <f t="shared" si="296"/>
        <v>12.951612903225804</v>
      </c>
      <c r="AN774" s="3">
        <f t="shared" si="297"/>
        <v>0</v>
      </c>
      <c r="AO774" s="3">
        <f t="shared" si="298"/>
        <v>12.951612903225804</v>
      </c>
      <c r="AP774" s="1" t="str">
        <f>INDEX({"EAD";"EAD";"EAD";"EAD MOOC";"EAD";"EAD";"EAD FP";"EAD";"PRESENCIAL";"PRESENCIAL";"PRESENCIAL";"PRESENCIAL"}, MATCH(CONCATENATE(E774, ".", F774),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75" spans="1:42" x14ac:dyDescent="0.25">
      <c r="A775" s="1" t="s">
        <v>27</v>
      </c>
      <c r="B775" s="1" t="s">
        <v>43</v>
      </c>
      <c r="C775" s="1" t="s">
        <v>29</v>
      </c>
      <c r="D775" s="1" t="s">
        <v>45</v>
      </c>
      <c r="E775" s="1" t="s">
        <v>120</v>
      </c>
      <c r="F775" s="1" t="s">
        <v>21</v>
      </c>
      <c r="G775" s="1" t="s">
        <v>121</v>
      </c>
      <c r="H775" s="1" t="s">
        <v>869</v>
      </c>
      <c r="I775" s="1" t="s">
        <v>228</v>
      </c>
      <c r="J775" s="1" t="s">
        <v>125</v>
      </c>
      <c r="K775" s="1" t="s">
        <v>109</v>
      </c>
      <c r="L775" s="1">
        <v>2963417</v>
      </c>
      <c r="M775" s="1" t="s">
        <v>961</v>
      </c>
      <c r="N775" s="5">
        <f t="shared" si="299"/>
        <v>44994</v>
      </c>
      <c r="O775" s="5">
        <f>DATE(2027,12,31)</f>
        <v>46752</v>
      </c>
      <c r="P775" s="5">
        <f t="shared" si="279"/>
        <v>47847</v>
      </c>
      <c r="Q775" s="1">
        <v>3780</v>
      </c>
      <c r="R775" s="1">
        <v>3600</v>
      </c>
      <c r="S775" s="1">
        <f t="shared" si="280"/>
        <v>3600</v>
      </c>
      <c r="T775" s="1">
        <v>2.5</v>
      </c>
      <c r="U775" s="1" t="str">
        <f t="shared" si="281"/>
        <v>SIM</v>
      </c>
      <c r="V775" s="1">
        <f t="shared" si="282"/>
        <v>1759</v>
      </c>
      <c r="W775" s="4">
        <f t="shared" si="283"/>
        <v>2.0466173962478682</v>
      </c>
      <c r="X775" s="4">
        <f t="shared" si="284"/>
        <v>747.01534963047186</v>
      </c>
      <c r="Y775" s="4">
        <f t="shared" si="285"/>
        <v>0.93376918703808987</v>
      </c>
      <c r="AB775" s="5">
        <f t="shared" si="286"/>
        <v>45292</v>
      </c>
      <c r="AC775" s="5">
        <f t="shared" si="287"/>
        <v>45657</v>
      </c>
      <c r="AD775" s="1">
        <v>19</v>
      </c>
      <c r="AE775" s="1">
        <f t="shared" si="288"/>
        <v>366</v>
      </c>
      <c r="AF775" s="1">
        <f t="shared" si="289"/>
        <v>0</v>
      </c>
      <c r="AG775" s="1">
        <f t="shared" si="290"/>
        <v>0</v>
      </c>
      <c r="AH775" s="1">
        <f t="shared" si="291"/>
        <v>0</v>
      </c>
      <c r="AI775" s="1">
        <f t="shared" si="292"/>
        <v>0</v>
      </c>
      <c r="AJ775" s="3">
        <f t="shared" si="293"/>
        <v>1</v>
      </c>
      <c r="AK775" s="3">
        <f t="shared" si="294"/>
        <v>0.93376918703808987</v>
      </c>
      <c r="AL775" s="3">
        <f t="shared" si="295"/>
        <v>17.741614553723707</v>
      </c>
      <c r="AM775" s="3">
        <f t="shared" si="296"/>
        <v>44.354036384309268</v>
      </c>
      <c r="AN775" s="3">
        <f t="shared" si="297"/>
        <v>0</v>
      </c>
      <c r="AO775" s="3">
        <f t="shared" si="298"/>
        <v>44.354036384309268</v>
      </c>
      <c r="AP775" s="1" t="str">
        <f>INDEX({"EAD";"EAD";"EAD";"EAD MOOC";"EAD";"EAD";"EAD FP";"EAD";"PRESENCIAL";"PRESENCIAL";"PRESENCIAL";"PRESENCIAL"}, MATCH(CONCATENATE(E775, ".", F775),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76" spans="1:42" x14ac:dyDescent="0.25">
      <c r="A776" s="1" t="s">
        <v>27</v>
      </c>
      <c r="B776" s="1" t="s">
        <v>43</v>
      </c>
      <c r="C776" s="1" t="s">
        <v>29</v>
      </c>
      <c r="D776" s="1" t="s">
        <v>45</v>
      </c>
      <c r="E776" s="1" t="s">
        <v>120</v>
      </c>
      <c r="F776" s="1" t="s">
        <v>21</v>
      </c>
      <c r="G776" s="1" t="s">
        <v>121</v>
      </c>
      <c r="H776" s="1" t="s">
        <v>279</v>
      </c>
      <c r="I776" s="1" t="s">
        <v>191</v>
      </c>
      <c r="J776" s="1" t="s">
        <v>125</v>
      </c>
      <c r="K776" s="1" t="s">
        <v>109</v>
      </c>
      <c r="L776" s="1">
        <v>2963434</v>
      </c>
      <c r="M776" s="1" t="s">
        <v>962</v>
      </c>
      <c r="N776" s="5">
        <f t="shared" si="299"/>
        <v>44994</v>
      </c>
      <c r="O776" s="5">
        <f>DATE(2026,7,30)</f>
        <v>46233</v>
      </c>
      <c r="P776" s="5">
        <f t="shared" si="279"/>
        <v>47328</v>
      </c>
      <c r="Q776" s="1">
        <v>2782</v>
      </c>
      <c r="R776" s="1">
        <v>2400</v>
      </c>
      <c r="S776" s="1">
        <f t="shared" si="280"/>
        <v>2400</v>
      </c>
      <c r="T776" s="1">
        <v>2.5</v>
      </c>
      <c r="U776" s="1" t="str">
        <f t="shared" si="281"/>
        <v>SIM</v>
      </c>
      <c r="V776" s="1">
        <f t="shared" si="282"/>
        <v>1240</v>
      </c>
      <c r="W776" s="4">
        <f t="shared" si="283"/>
        <v>1.935483870967742</v>
      </c>
      <c r="X776" s="4">
        <f t="shared" si="284"/>
        <v>706.45161290322585</v>
      </c>
      <c r="Y776" s="4">
        <f t="shared" si="285"/>
        <v>0.88306451612903236</v>
      </c>
      <c r="AB776" s="5">
        <f t="shared" si="286"/>
        <v>45292</v>
      </c>
      <c r="AC776" s="5">
        <f t="shared" si="287"/>
        <v>45657</v>
      </c>
      <c r="AD776" s="1">
        <v>30</v>
      </c>
      <c r="AE776" s="1">
        <f t="shared" si="288"/>
        <v>366</v>
      </c>
      <c r="AF776" s="1">
        <f t="shared" si="289"/>
        <v>0</v>
      </c>
      <c r="AG776" s="1">
        <f t="shared" si="290"/>
        <v>0</v>
      </c>
      <c r="AH776" s="1">
        <f t="shared" si="291"/>
        <v>0</v>
      </c>
      <c r="AI776" s="1">
        <f t="shared" si="292"/>
        <v>0</v>
      </c>
      <c r="AJ776" s="3">
        <f t="shared" si="293"/>
        <v>1</v>
      </c>
      <c r="AK776" s="3">
        <f t="shared" si="294"/>
        <v>0.88306451612903236</v>
      </c>
      <c r="AL776" s="3">
        <f t="shared" si="295"/>
        <v>26.491935483870972</v>
      </c>
      <c r="AM776" s="3">
        <f t="shared" si="296"/>
        <v>66.229838709677423</v>
      </c>
      <c r="AN776" s="3">
        <f t="shared" si="297"/>
        <v>0</v>
      </c>
      <c r="AO776" s="3">
        <f t="shared" si="298"/>
        <v>66.229838709677423</v>
      </c>
      <c r="AP776" s="1" t="str">
        <f>INDEX({"EAD";"EAD";"EAD";"EAD MOOC";"EAD";"EAD";"EAD FP";"EAD";"PRESENCIAL";"PRESENCIAL";"PRESENCIAL";"PRESENCIAL"}, MATCH(CONCATENATE(E776, ".", F776),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77" spans="1:42" x14ac:dyDescent="0.25">
      <c r="A777" s="1" t="s">
        <v>27</v>
      </c>
      <c r="B777" s="1" t="s">
        <v>43</v>
      </c>
      <c r="C777" s="1" t="s">
        <v>29</v>
      </c>
      <c r="D777" s="1" t="s">
        <v>45</v>
      </c>
      <c r="E777" s="1" t="s">
        <v>120</v>
      </c>
      <c r="F777" s="1" t="s">
        <v>21</v>
      </c>
      <c r="G777" s="1" t="s">
        <v>128</v>
      </c>
      <c r="H777" s="1" t="s">
        <v>907</v>
      </c>
      <c r="I777" s="1" t="s">
        <v>224</v>
      </c>
      <c r="J777" s="1" t="s">
        <v>125</v>
      </c>
      <c r="K777" s="1" t="s">
        <v>130</v>
      </c>
      <c r="L777" s="1">
        <v>2963532</v>
      </c>
      <c r="M777" s="1" t="s">
        <v>963</v>
      </c>
      <c r="N777" s="5">
        <f t="shared" si="299"/>
        <v>44994</v>
      </c>
      <c r="O777" s="5">
        <f>DATE(2025,12,30)</f>
        <v>46021</v>
      </c>
      <c r="P777" s="5">
        <f t="shared" si="279"/>
        <v>47116</v>
      </c>
      <c r="Q777" s="1">
        <v>3689</v>
      </c>
      <c r="R777" s="1">
        <v>1200</v>
      </c>
      <c r="S777" s="1">
        <f t="shared" si="280"/>
        <v>3200</v>
      </c>
      <c r="T777" s="1">
        <v>1.5</v>
      </c>
      <c r="U777" s="1" t="str">
        <f t="shared" si="281"/>
        <v>SIM</v>
      </c>
      <c r="V777" s="1">
        <f t="shared" si="282"/>
        <v>1028</v>
      </c>
      <c r="W777" s="4">
        <f t="shared" si="283"/>
        <v>3.1128404669260701</v>
      </c>
      <c r="X777" s="4">
        <f t="shared" si="284"/>
        <v>1136.1867704280155</v>
      </c>
      <c r="Y777" s="4">
        <f t="shared" si="285"/>
        <v>1.4202334630350193</v>
      </c>
      <c r="AB777" s="5">
        <f t="shared" si="286"/>
        <v>45292</v>
      </c>
      <c r="AC777" s="5">
        <f t="shared" si="287"/>
        <v>45657</v>
      </c>
      <c r="AD777" s="1">
        <v>34</v>
      </c>
      <c r="AE777" s="1">
        <f t="shared" si="288"/>
        <v>366</v>
      </c>
      <c r="AF777" s="1">
        <f t="shared" si="289"/>
        <v>0</v>
      </c>
      <c r="AG777" s="1">
        <f t="shared" si="290"/>
        <v>0</v>
      </c>
      <c r="AH777" s="1">
        <f t="shared" si="291"/>
        <v>0</v>
      </c>
      <c r="AI777" s="1">
        <f t="shared" si="292"/>
        <v>0</v>
      </c>
      <c r="AJ777" s="3">
        <f t="shared" si="293"/>
        <v>1</v>
      </c>
      <c r="AK777" s="3">
        <f t="shared" si="294"/>
        <v>1.4202334630350193</v>
      </c>
      <c r="AL777" s="3">
        <f t="shared" si="295"/>
        <v>48.287937743190653</v>
      </c>
      <c r="AM777" s="3">
        <f t="shared" si="296"/>
        <v>72.431906614785987</v>
      </c>
      <c r="AN777" s="3">
        <f t="shared" si="297"/>
        <v>0</v>
      </c>
      <c r="AO777" s="3">
        <f t="shared" si="298"/>
        <v>72.431906614785987</v>
      </c>
      <c r="AP777" s="1" t="str">
        <f>INDEX({"EAD";"EAD";"EAD";"EAD MOOC";"EAD";"EAD";"EAD FP";"EAD";"PRESENCIAL";"PRESENCIAL";"PRESENCIAL";"PRESENCIAL"}, MATCH(CONCATENATE(E777, ".", F777),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78" spans="1:42" x14ac:dyDescent="0.25">
      <c r="A778" s="1" t="s">
        <v>27</v>
      </c>
      <c r="B778" s="1" t="s">
        <v>43</v>
      </c>
      <c r="C778" s="1" t="s">
        <v>29</v>
      </c>
      <c r="D778" s="1" t="s">
        <v>45</v>
      </c>
      <c r="E778" s="1" t="s">
        <v>120</v>
      </c>
      <c r="F778" s="1" t="s">
        <v>21</v>
      </c>
      <c r="G778" s="1" t="s">
        <v>128</v>
      </c>
      <c r="H778" s="1" t="s">
        <v>890</v>
      </c>
      <c r="I778" s="1" t="s">
        <v>191</v>
      </c>
      <c r="J778" s="1" t="s">
        <v>125</v>
      </c>
      <c r="K778" s="1" t="s">
        <v>130</v>
      </c>
      <c r="L778" s="1">
        <v>2963553</v>
      </c>
      <c r="M778" s="1" t="s">
        <v>964</v>
      </c>
      <c r="N778" s="5">
        <f t="shared" si="299"/>
        <v>44994</v>
      </c>
      <c r="O778" s="5">
        <f>DATE(2025,12,30)</f>
        <v>46021</v>
      </c>
      <c r="P778" s="5">
        <f t="shared" si="279"/>
        <v>47116</v>
      </c>
      <c r="Q778" s="1">
        <v>3689</v>
      </c>
      <c r="R778" s="1">
        <v>1200</v>
      </c>
      <c r="S778" s="1">
        <f t="shared" si="280"/>
        <v>3200</v>
      </c>
      <c r="T778" s="1">
        <v>2.5</v>
      </c>
      <c r="U778" s="1" t="str">
        <f t="shared" si="281"/>
        <v>SIM</v>
      </c>
      <c r="V778" s="1">
        <f t="shared" si="282"/>
        <v>1028</v>
      </c>
      <c r="W778" s="4">
        <f t="shared" si="283"/>
        <v>3.1128404669260701</v>
      </c>
      <c r="X778" s="4">
        <f t="shared" si="284"/>
        <v>1136.1867704280155</v>
      </c>
      <c r="Y778" s="4">
        <f t="shared" si="285"/>
        <v>1.4202334630350193</v>
      </c>
      <c r="AB778" s="5">
        <f t="shared" si="286"/>
        <v>45292</v>
      </c>
      <c r="AC778" s="5">
        <f t="shared" si="287"/>
        <v>45657</v>
      </c>
      <c r="AD778" s="1">
        <v>35</v>
      </c>
      <c r="AE778" s="1">
        <f t="shared" si="288"/>
        <v>366</v>
      </c>
      <c r="AF778" s="1">
        <f t="shared" si="289"/>
        <v>0</v>
      </c>
      <c r="AG778" s="1">
        <f t="shared" si="290"/>
        <v>0</v>
      </c>
      <c r="AH778" s="1">
        <f t="shared" si="291"/>
        <v>0</v>
      </c>
      <c r="AI778" s="1">
        <f t="shared" si="292"/>
        <v>0</v>
      </c>
      <c r="AJ778" s="3">
        <f t="shared" si="293"/>
        <v>1</v>
      </c>
      <c r="AK778" s="3">
        <f t="shared" si="294"/>
        <v>1.4202334630350193</v>
      </c>
      <c r="AL778" s="3">
        <f t="shared" si="295"/>
        <v>49.708171206225678</v>
      </c>
      <c r="AM778" s="3">
        <f t="shared" si="296"/>
        <v>124.27042801556419</v>
      </c>
      <c r="AN778" s="3">
        <f t="shared" si="297"/>
        <v>0</v>
      </c>
      <c r="AO778" s="3">
        <f t="shared" si="298"/>
        <v>124.27042801556419</v>
      </c>
      <c r="AP778" s="1" t="str">
        <f>INDEX({"EAD";"EAD";"EAD";"EAD MOOC";"EAD";"EAD";"EAD FP";"EAD";"PRESENCIAL";"PRESENCIAL";"PRESENCIAL";"PRESENCIAL"}, MATCH(CONCATENATE(E778, ".", F778),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79" spans="1:42" x14ac:dyDescent="0.25">
      <c r="A779" s="1" t="s">
        <v>27</v>
      </c>
      <c r="B779" s="1" t="s">
        <v>43</v>
      </c>
      <c r="C779" s="1" t="s">
        <v>29</v>
      </c>
      <c r="D779" s="1" t="s">
        <v>45</v>
      </c>
      <c r="E779" s="1" t="s">
        <v>120</v>
      </c>
      <c r="F779" s="1" t="s">
        <v>21</v>
      </c>
      <c r="G779" s="1" t="s">
        <v>128</v>
      </c>
      <c r="H779" s="1" t="s">
        <v>227</v>
      </c>
      <c r="I779" s="1" t="s">
        <v>228</v>
      </c>
      <c r="J779" s="1" t="s">
        <v>125</v>
      </c>
      <c r="K779" s="1" t="s">
        <v>163</v>
      </c>
      <c r="L779" s="1">
        <v>2967141</v>
      </c>
      <c r="M779" s="1" t="s">
        <v>965</v>
      </c>
      <c r="N779" s="5">
        <f t="shared" si="299"/>
        <v>44994</v>
      </c>
      <c r="O779" s="5">
        <f>DATE(2024,12,20)</f>
        <v>45646</v>
      </c>
      <c r="P779" s="5">
        <f t="shared" si="279"/>
        <v>46741</v>
      </c>
      <c r="Q779" s="1">
        <v>1367</v>
      </c>
      <c r="R779" s="1">
        <v>1200</v>
      </c>
      <c r="S779" s="1">
        <f t="shared" si="280"/>
        <v>1200</v>
      </c>
      <c r="T779" s="1">
        <v>2.5</v>
      </c>
      <c r="U779" s="1" t="str">
        <f t="shared" si="281"/>
        <v>SIM</v>
      </c>
      <c r="V779" s="1">
        <f t="shared" si="282"/>
        <v>653</v>
      </c>
      <c r="W779" s="4">
        <f t="shared" si="283"/>
        <v>1.8376722817764166</v>
      </c>
      <c r="X779" s="4">
        <f t="shared" si="284"/>
        <v>670.75038284839206</v>
      </c>
      <c r="Y779" s="4">
        <f t="shared" si="285"/>
        <v>0.83843797856049007</v>
      </c>
      <c r="AB779" s="5">
        <f t="shared" si="286"/>
        <v>45292</v>
      </c>
      <c r="AC779" s="5">
        <f t="shared" si="287"/>
        <v>45657</v>
      </c>
      <c r="AD779" s="1">
        <v>22</v>
      </c>
      <c r="AE779" s="1">
        <f t="shared" si="288"/>
        <v>0</v>
      </c>
      <c r="AF779" s="1">
        <f t="shared" si="289"/>
        <v>0</v>
      </c>
      <c r="AG779" s="1">
        <f t="shared" si="290"/>
        <v>355</v>
      </c>
      <c r="AH779" s="1">
        <f t="shared" si="291"/>
        <v>0</v>
      </c>
      <c r="AI779" s="1">
        <f t="shared" si="292"/>
        <v>0</v>
      </c>
      <c r="AJ779" s="3">
        <f t="shared" si="293"/>
        <v>0.9699453551912568</v>
      </c>
      <c r="AK779" s="3">
        <f t="shared" si="294"/>
        <v>0.81323902292069394</v>
      </c>
      <c r="AL779" s="3">
        <f t="shared" si="295"/>
        <v>17.891258504255266</v>
      </c>
      <c r="AM779" s="3">
        <f t="shared" si="296"/>
        <v>44.728146260638162</v>
      </c>
      <c r="AN779" s="3">
        <f t="shared" si="297"/>
        <v>0</v>
      </c>
      <c r="AO779" s="3">
        <f t="shared" si="298"/>
        <v>44.728146260638162</v>
      </c>
      <c r="AP779" s="1" t="str">
        <f>INDEX({"EAD";"EAD";"EAD";"EAD MOOC";"EAD";"EAD";"EAD FP";"EAD";"PRESENCIAL";"PRESENCIAL";"PRESENCIAL";"PRESENCIAL"}, MATCH(CONCATENATE(E779, ".", F779),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80" spans="1:42" x14ac:dyDescent="0.25">
      <c r="A780" s="1" t="s">
        <v>27</v>
      </c>
      <c r="B780" s="1" t="s">
        <v>43</v>
      </c>
      <c r="C780" s="1" t="s">
        <v>29</v>
      </c>
      <c r="D780" s="1" t="s">
        <v>45</v>
      </c>
      <c r="E780" s="1" t="s">
        <v>120</v>
      </c>
      <c r="F780" s="1" t="s">
        <v>21</v>
      </c>
      <c r="G780" s="1" t="s">
        <v>665</v>
      </c>
      <c r="H780" s="1" t="s">
        <v>952</v>
      </c>
      <c r="I780" s="1" t="s">
        <v>503</v>
      </c>
      <c r="J780" s="1" t="s">
        <v>125</v>
      </c>
      <c r="K780" s="1" t="s">
        <v>109</v>
      </c>
      <c r="L780" s="1">
        <v>2967122</v>
      </c>
      <c r="M780" s="1" t="s">
        <v>966</v>
      </c>
      <c r="N780" s="5">
        <f>DATE(2023,3,20)</f>
        <v>45005</v>
      </c>
      <c r="O780" s="5">
        <f>DATE(2025,3,20)</f>
        <v>45736</v>
      </c>
      <c r="P780" s="5">
        <f t="shared" si="279"/>
        <v>46831</v>
      </c>
      <c r="Q780" s="1">
        <v>360</v>
      </c>
      <c r="R780" s="1">
        <v>360</v>
      </c>
      <c r="S780" s="1">
        <f t="shared" si="280"/>
        <v>360</v>
      </c>
      <c r="T780" s="1">
        <v>3.75</v>
      </c>
      <c r="U780" s="1" t="str">
        <f t="shared" si="281"/>
        <v>SIM</v>
      </c>
      <c r="V780" s="1">
        <f t="shared" si="282"/>
        <v>732</v>
      </c>
      <c r="W780" s="4">
        <f t="shared" si="283"/>
        <v>0.49180327868852458</v>
      </c>
      <c r="X780" s="4">
        <f t="shared" si="284"/>
        <v>179.50819672131146</v>
      </c>
      <c r="Y780" s="4">
        <f t="shared" si="285"/>
        <v>0.22438524590163933</v>
      </c>
      <c r="AB780" s="5">
        <f t="shared" si="286"/>
        <v>45292</v>
      </c>
      <c r="AC780" s="5">
        <f t="shared" si="287"/>
        <v>45657</v>
      </c>
      <c r="AD780" s="1">
        <v>8</v>
      </c>
      <c r="AE780" s="1">
        <f t="shared" si="288"/>
        <v>366</v>
      </c>
      <c r="AF780" s="1">
        <f t="shared" si="289"/>
        <v>0</v>
      </c>
      <c r="AG780" s="1">
        <f t="shared" si="290"/>
        <v>0</v>
      </c>
      <c r="AH780" s="1">
        <f t="shared" si="291"/>
        <v>0</v>
      </c>
      <c r="AI780" s="1">
        <f t="shared" si="292"/>
        <v>0</v>
      </c>
      <c r="AJ780" s="3">
        <f t="shared" si="293"/>
        <v>1</v>
      </c>
      <c r="AK780" s="3">
        <f t="shared" si="294"/>
        <v>0.22438524590163933</v>
      </c>
      <c r="AL780" s="3">
        <f t="shared" si="295"/>
        <v>1.7950819672131146</v>
      </c>
      <c r="AM780" s="3">
        <f t="shared" si="296"/>
        <v>6.7315573770491799</v>
      </c>
      <c r="AN780" s="3">
        <f t="shared" si="297"/>
        <v>0</v>
      </c>
      <c r="AO780" s="3">
        <f t="shared" si="298"/>
        <v>6.7315573770491799</v>
      </c>
      <c r="AP780" s="1" t="str">
        <f>INDEX({"EAD";"EAD";"EAD";"EAD MOOC";"EAD";"EAD";"EAD FP";"EAD";"PRESENCIAL";"PRESENCIAL";"PRESENCIAL";"PRESENCIAL"}, MATCH(CONCATENATE(E780, ".", F780),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81" spans="1:42" x14ac:dyDescent="0.25">
      <c r="A781" s="1" t="s">
        <v>27</v>
      </c>
      <c r="B781" s="1" t="s">
        <v>43</v>
      </c>
      <c r="C781" s="1" t="s">
        <v>29</v>
      </c>
      <c r="D781" s="1" t="s">
        <v>45</v>
      </c>
      <c r="E781" s="1" t="s">
        <v>170</v>
      </c>
      <c r="F781" s="1" t="s">
        <v>21</v>
      </c>
      <c r="G781" s="1" t="s">
        <v>128</v>
      </c>
      <c r="H781" s="1" t="s">
        <v>171</v>
      </c>
      <c r="I781" s="1" t="s">
        <v>172</v>
      </c>
      <c r="J781" s="1" t="s">
        <v>125</v>
      </c>
      <c r="K781" s="1" t="s">
        <v>163</v>
      </c>
      <c r="L781" s="1">
        <v>2958240</v>
      </c>
      <c r="M781" s="1" t="s">
        <v>173</v>
      </c>
      <c r="N781" s="5">
        <f>DATE(2023,4,3)</f>
        <v>45019</v>
      </c>
      <c r="O781" s="5">
        <f>DATE(2024,8,31)</f>
        <v>45535</v>
      </c>
      <c r="P781" s="5">
        <f t="shared" si="279"/>
        <v>46630</v>
      </c>
      <c r="Q781" s="1">
        <v>1200</v>
      </c>
      <c r="R781" s="1">
        <v>1200</v>
      </c>
      <c r="S781" s="1">
        <f t="shared" si="280"/>
        <v>1200</v>
      </c>
      <c r="T781" s="1">
        <v>2</v>
      </c>
      <c r="U781" s="1" t="str">
        <f t="shared" si="281"/>
        <v>SIM</v>
      </c>
      <c r="V781" s="1">
        <f t="shared" si="282"/>
        <v>517</v>
      </c>
      <c r="W781" s="4">
        <f t="shared" si="283"/>
        <v>2.3210831721470018</v>
      </c>
      <c r="X781" s="4">
        <f t="shared" si="284"/>
        <v>847.19535783365563</v>
      </c>
      <c r="Y781" s="4">
        <f t="shared" si="285"/>
        <v>1.0589941972920696</v>
      </c>
      <c r="AB781" s="5">
        <f t="shared" si="286"/>
        <v>45292</v>
      </c>
      <c r="AC781" s="5">
        <f t="shared" si="287"/>
        <v>45657</v>
      </c>
      <c r="AD781" s="1">
        <v>46</v>
      </c>
      <c r="AE781" s="1">
        <f t="shared" si="288"/>
        <v>0</v>
      </c>
      <c r="AF781" s="1">
        <f t="shared" si="289"/>
        <v>0</v>
      </c>
      <c r="AG781" s="1">
        <f t="shared" si="290"/>
        <v>244</v>
      </c>
      <c r="AH781" s="1">
        <f t="shared" si="291"/>
        <v>0</v>
      </c>
      <c r="AI781" s="1">
        <f t="shared" si="292"/>
        <v>0</v>
      </c>
      <c r="AJ781" s="3">
        <f t="shared" si="293"/>
        <v>0.66666666666666663</v>
      </c>
      <c r="AK781" s="3">
        <f t="shared" si="294"/>
        <v>0.7059961315280463</v>
      </c>
      <c r="AL781" s="3">
        <f t="shared" si="295"/>
        <v>32.475822050290127</v>
      </c>
      <c r="AM781" s="3">
        <f t="shared" si="296"/>
        <v>64.951644100580253</v>
      </c>
      <c r="AN781" s="3">
        <f t="shared" si="297"/>
        <v>0</v>
      </c>
      <c r="AO781" s="3">
        <f t="shared" si="298"/>
        <v>64.951644100580253</v>
      </c>
      <c r="AP781" s="1" t="str">
        <f>INDEX({"EAD";"EAD";"EAD";"EAD MOOC";"EAD";"EAD";"EAD FP";"EAD";"PRESENCIAL";"PRESENCIAL";"PRESENCIAL";"PRESENCIAL"}, MATCH(CONCATENATE(E781, ".", F781),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782" spans="1:42" x14ac:dyDescent="0.25">
      <c r="A782" s="1" t="s">
        <v>27</v>
      </c>
      <c r="B782" s="1" t="s">
        <v>43</v>
      </c>
      <c r="C782" s="1" t="s">
        <v>29</v>
      </c>
      <c r="D782" s="1" t="s">
        <v>45</v>
      </c>
      <c r="E782" s="1" t="s">
        <v>170</v>
      </c>
      <c r="F782" s="1" t="s">
        <v>21</v>
      </c>
      <c r="G782" s="1" t="s">
        <v>128</v>
      </c>
      <c r="H782" s="1" t="s">
        <v>176</v>
      </c>
      <c r="I782" s="1" t="s">
        <v>172</v>
      </c>
      <c r="J782" s="1" t="s">
        <v>125</v>
      </c>
      <c r="K782" s="1" t="s">
        <v>163</v>
      </c>
      <c r="L782" s="1">
        <v>2958243</v>
      </c>
      <c r="M782" s="1" t="s">
        <v>177</v>
      </c>
      <c r="N782" s="5">
        <f>DATE(2023,4,3)</f>
        <v>45019</v>
      </c>
      <c r="O782" s="5">
        <f>DATE(2024,8,31)</f>
        <v>45535</v>
      </c>
      <c r="P782" s="5">
        <f t="shared" si="279"/>
        <v>46630</v>
      </c>
      <c r="Q782" s="1">
        <v>1200</v>
      </c>
      <c r="R782" s="1">
        <v>800</v>
      </c>
      <c r="S782" s="1">
        <f t="shared" si="280"/>
        <v>800</v>
      </c>
      <c r="T782" s="1">
        <v>1.5</v>
      </c>
      <c r="U782" s="1" t="str">
        <f t="shared" si="281"/>
        <v>SIM</v>
      </c>
      <c r="V782" s="1">
        <f t="shared" si="282"/>
        <v>517</v>
      </c>
      <c r="W782" s="4">
        <f t="shared" si="283"/>
        <v>1.5473887814313345</v>
      </c>
      <c r="X782" s="4">
        <f t="shared" si="284"/>
        <v>564.79690522243709</v>
      </c>
      <c r="Y782" s="4">
        <f t="shared" si="285"/>
        <v>0.70599613152804641</v>
      </c>
      <c r="AB782" s="5">
        <f t="shared" si="286"/>
        <v>45292</v>
      </c>
      <c r="AC782" s="5">
        <f t="shared" si="287"/>
        <v>45657</v>
      </c>
      <c r="AD782" s="1">
        <v>29</v>
      </c>
      <c r="AE782" s="1">
        <f t="shared" si="288"/>
        <v>0</v>
      </c>
      <c r="AF782" s="1">
        <f t="shared" si="289"/>
        <v>0</v>
      </c>
      <c r="AG782" s="1">
        <f t="shared" si="290"/>
        <v>244</v>
      </c>
      <c r="AH782" s="1">
        <f t="shared" si="291"/>
        <v>0</v>
      </c>
      <c r="AI782" s="1">
        <f t="shared" si="292"/>
        <v>0</v>
      </c>
      <c r="AJ782" s="3">
        <f t="shared" si="293"/>
        <v>0.66666666666666663</v>
      </c>
      <c r="AK782" s="3">
        <f t="shared" si="294"/>
        <v>0.47066408768536427</v>
      </c>
      <c r="AL782" s="3">
        <f t="shared" si="295"/>
        <v>13.649258542875565</v>
      </c>
      <c r="AM782" s="3">
        <f t="shared" si="296"/>
        <v>20.473887814313347</v>
      </c>
      <c r="AN782" s="3">
        <f t="shared" si="297"/>
        <v>0</v>
      </c>
      <c r="AO782" s="3">
        <f t="shared" si="298"/>
        <v>20.473887814313347</v>
      </c>
      <c r="AP782" s="1" t="str">
        <f>INDEX({"EAD";"EAD";"EAD";"EAD MOOC";"EAD";"EAD";"EAD FP";"EAD";"PRESENCIAL";"PRESENCIAL";"PRESENCIAL";"PRESENCIAL"}, MATCH(CONCATENATE(E782, ".", F782),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783" spans="1:42" x14ac:dyDescent="0.25">
      <c r="A783" s="1" t="s">
        <v>27</v>
      </c>
      <c r="B783" s="1" t="s">
        <v>43</v>
      </c>
      <c r="C783" s="1" t="s">
        <v>29</v>
      </c>
      <c r="D783" s="1" t="s">
        <v>45</v>
      </c>
      <c r="E783" s="1" t="s">
        <v>170</v>
      </c>
      <c r="F783" s="1" t="s">
        <v>21</v>
      </c>
      <c r="G783" s="1" t="s">
        <v>128</v>
      </c>
      <c r="H783" s="1" t="s">
        <v>174</v>
      </c>
      <c r="I783" s="1" t="s">
        <v>172</v>
      </c>
      <c r="J783" s="1" t="s">
        <v>125</v>
      </c>
      <c r="K783" s="1" t="s">
        <v>163</v>
      </c>
      <c r="L783" s="1">
        <v>2958258</v>
      </c>
      <c r="M783" s="1" t="s">
        <v>175</v>
      </c>
      <c r="N783" s="5">
        <f>DATE(2023,4,3)</f>
        <v>45019</v>
      </c>
      <c r="O783" s="5">
        <f>DATE(2024,8,31)</f>
        <v>45535</v>
      </c>
      <c r="P783" s="5">
        <f t="shared" si="279"/>
        <v>46630</v>
      </c>
      <c r="Q783" s="1">
        <v>1200</v>
      </c>
      <c r="R783" s="1">
        <v>1200</v>
      </c>
      <c r="S783" s="1">
        <f t="shared" si="280"/>
        <v>1200</v>
      </c>
      <c r="T783" s="1">
        <v>1</v>
      </c>
      <c r="U783" s="1" t="str">
        <f t="shared" si="281"/>
        <v>SIM</v>
      </c>
      <c r="V783" s="1">
        <f t="shared" si="282"/>
        <v>517</v>
      </c>
      <c r="W783" s="4">
        <f t="shared" si="283"/>
        <v>2.3210831721470018</v>
      </c>
      <c r="X783" s="4">
        <f t="shared" si="284"/>
        <v>847.19535783365563</v>
      </c>
      <c r="Y783" s="4">
        <f t="shared" si="285"/>
        <v>1.0589941972920696</v>
      </c>
      <c r="AB783" s="5">
        <f t="shared" si="286"/>
        <v>45292</v>
      </c>
      <c r="AC783" s="5">
        <f t="shared" si="287"/>
        <v>45657</v>
      </c>
      <c r="AD783" s="1">
        <v>84</v>
      </c>
      <c r="AE783" s="1">
        <f t="shared" si="288"/>
        <v>0</v>
      </c>
      <c r="AF783" s="1">
        <f t="shared" si="289"/>
        <v>0</v>
      </c>
      <c r="AG783" s="1">
        <f t="shared" si="290"/>
        <v>244</v>
      </c>
      <c r="AH783" s="1">
        <f t="shared" si="291"/>
        <v>0</v>
      </c>
      <c r="AI783" s="1">
        <f t="shared" si="292"/>
        <v>0</v>
      </c>
      <c r="AJ783" s="3">
        <f t="shared" si="293"/>
        <v>0.66666666666666663</v>
      </c>
      <c r="AK783" s="3">
        <f t="shared" si="294"/>
        <v>0.7059961315280463</v>
      </c>
      <c r="AL783" s="3">
        <f t="shared" si="295"/>
        <v>59.303675048355892</v>
      </c>
      <c r="AM783" s="3">
        <f t="shared" si="296"/>
        <v>59.303675048355892</v>
      </c>
      <c r="AN783" s="3">
        <f t="shared" si="297"/>
        <v>0</v>
      </c>
      <c r="AO783" s="3">
        <f t="shared" si="298"/>
        <v>59.303675048355892</v>
      </c>
      <c r="AP783" s="1" t="str">
        <f>INDEX({"EAD";"EAD";"EAD";"EAD MOOC";"EAD";"EAD";"EAD FP";"EAD";"PRESENCIAL";"PRESENCIAL";"PRESENCIAL";"PRESENCIAL"}, MATCH(CONCATENATE(E783, ".", F783),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784" spans="1:42" x14ac:dyDescent="0.25">
      <c r="A784" s="1" t="s">
        <v>27</v>
      </c>
      <c r="B784" s="1" t="s">
        <v>43</v>
      </c>
      <c r="C784" s="1" t="s">
        <v>29</v>
      </c>
      <c r="D784" s="1" t="s">
        <v>45</v>
      </c>
      <c r="E784" s="1" t="s">
        <v>120</v>
      </c>
      <c r="F784" s="1" t="s">
        <v>21</v>
      </c>
      <c r="G784" s="1" t="s">
        <v>727</v>
      </c>
      <c r="H784" s="1" t="s">
        <v>919</v>
      </c>
      <c r="I784" s="1" t="s">
        <v>224</v>
      </c>
      <c r="J784" s="1" t="s">
        <v>125</v>
      </c>
      <c r="K784" s="1" t="s">
        <v>109</v>
      </c>
      <c r="L784" s="1">
        <v>2991155</v>
      </c>
      <c r="M784" s="1" t="s">
        <v>967</v>
      </c>
      <c r="N784" s="5">
        <f>DATE(2023,4,27)</f>
        <v>45043</v>
      </c>
      <c r="O784" s="5">
        <f>DATE(2025,4,27)</f>
        <v>45774</v>
      </c>
      <c r="P784" s="5">
        <f t="shared" si="279"/>
        <v>46869</v>
      </c>
      <c r="Q784" s="1">
        <v>360</v>
      </c>
      <c r="R784" s="1">
        <v>360</v>
      </c>
      <c r="S784" s="1">
        <f t="shared" si="280"/>
        <v>360</v>
      </c>
      <c r="T784" s="1">
        <v>3.75</v>
      </c>
      <c r="U784" s="1" t="str">
        <f t="shared" si="281"/>
        <v>SIM</v>
      </c>
      <c r="V784" s="1">
        <f t="shared" si="282"/>
        <v>732</v>
      </c>
      <c r="W784" s="4">
        <f t="shared" si="283"/>
        <v>0.49180327868852458</v>
      </c>
      <c r="X784" s="4">
        <f t="shared" si="284"/>
        <v>179.50819672131146</v>
      </c>
      <c r="Y784" s="4">
        <f t="shared" si="285"/>
        <v>0.22438524590163933</v>
      </c>
      <c r="AB784" s="5">
        <f t="shared" si="286"/>
        <v>45292</v>
      </c>
      <c r="AC784" s="5">
        <f t="shared" si="287"/>
        <v>45657</v>
      </c>
      <c r="AD784" s="1">
        <v>9</v>
      </c>
      <c r="AE784" s="1">
        <f t="shared" si="288"/>
        <v>366</v>
      </c>
      <c r="AF784" s="1">
        <f t="shared" si="289"/>
        <v>0</v>
      </c>
      <c r="AG784" s="1">
        <f t="shared" si="290"/>
        <v>0</v>
      </c>
      <c r="AH784" s="1">
        <f t="shared" si="291"/>
        <v>0</v>
      </c>
      <c r="AI784" s="1">
        <f t="shared" si="292"/>
        <v>0</v>
      </c>
      <c r="AJ784" s="3">
        <f t="shared" si="293"/>
        <v>1</v>
      </c>
      <c r="AK784" s="3">
        <f t="shared" si="294"/>
        <v>0.22438524590163933</v>
      </c>
      <c r="AL784" s="3">
        <f t="shared" si="295"/>
        <v>2.019467213114754</v>
      </c>
      <c r="AM784" s="3">
        <f t="shared" si="296"/>
        <v>7.5730020491803272</v>
      </c>
      <c r="AN784" s="3">
        <f t="shared" si="297"/>
        <v>0</v>
      </c>
      <c r="AO784" s="3">
        <f t="shared" si="298"/>
        <v>7.5730020491803272</v>
      </c>
      <c r="AP784" s="1" t="str">
        <f>INDEX({"EAD";"EAD";"EAD";"EAD MOOC";"EAD";"EAD";"EAD FP";"EAD";"PRESENCIAL";"PRESENCIAL";"PRESENCIAL";"PRESENCIAL"}, MATCH(CONCATENATE(E784, ".", F784),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85" spans="1:42" x14ac:dyDescent="0.25">
      <c r="A785" s="1" t="s">
        <v>27</v>
      </c>
      <c r="B785" s="1" t="s">
        <v>43</v>
      </c>
      <c r="C785" s="1" t="s">
        <v>29</v>
      </c>
      <c r="D785" s="1" t="s">
        <v>45</v>
      </c>
      <c r="E785" s="1" t="s">
        <v>170</v>
      </c>
      <c r="F785" s="1" t="s">
        <v>510</v>
      </c>
      <c r="G785" s="1" t="s">
        <v>278</v>
      </c>
      <c r="H785" s="1" t="s">
        <v>320</v>
      </c>
      <c r="I785" s="1" t="s">
        <v>172</v>
      </c>
      <c r="J785" s="1" t="s">
        <v>125</v>
      </c>
      <c r="K785" s="1" t="s">
        <v>109</v>
      </c>
      <c r="L785" s="1">
        <v>3010761</v>
      </c>
      <c r="M785" s="1" t="s">
        <v>968</v>
      </c>
      <c r="N785" s="5">
        <f t="shared" ref="N785:N795" si="300">DATE(2023,6,5)</f>
        <v>45082</v>
      </c>
      <c r="O785" s="5">
        <f>DATE(2027,6,5)</f>
        <v>46543</v>
      </c>
      <c r="P785" s="5">
        <f t="shared" si="279"/>
        <v>47638</v>
      </c>
      <c r="Q785" s="1">
        <v>3500</v>
      </c>
      <c r="R785" s="1">
        <v>3200</v>
      </c>
      <c r="S785" s="1">
        <f t="shared" si="280"/>
        <v>3200</v>
      </c>
      <c r="T785" s="1">
        <v>2.5</v>
      </c>
      <c r="U785" s="1" t="str">
        <f t="shared" si="281"/>
        <v>SIM</v>
      </c>
      <c r="V785" s="1">
        <f t="shared" si="282"/>
        <v>1462</v>
      </c>
      <c r="W785" s="4">
        <f t="shared" si="283"/>
        <v>2.188782489740082</v>
      </c>
      <c r="X785" s="4">
        <f t="shared" si="284"/>
        <v>798.90560875512995</v>
      </c>
      <c r="Y785" s="4">
        <f t="shared" si="285"/>
        <v>0.99863201094391241</v>
      </c>
      <c r="AB785" s="5">
        <f t="shared" si="286"/>
        <v>45292</v>
      </c>
      <c r="AC785" s="5">
        <f t="shared" si="287"/>
        <v>45657</v>
      </c>
      <c r="AD785" s="1">
        <v>42</v>
      </c>
      <c r="AE785" s="1">
        <f t="shared" si="288"/>
        <v>366</v>
      </c>
      <c r="AF785" s="1">
        <f t="shared" si="289"/>
        <v>0</v>
      </c>
      <c r="AG785" s="1">
        <f t="shared" si="290"/>
        <v>0</v>
      </c>
      <c r="AH785" s="1">
        <f t="shared" si="291"/>
        <v>0</v>
      </c>
      <c r="AI785" s="1">
        <f t="shared" si="292"/>
        <v>0</v>
      </c>
      <c r="AJ785" s="3">
        <f t="shared" si="293"/>
        <v>1</v>
      </c>
      <c r="AK785" s="3">
        <f t="shared" si="294"/>
        <v>0.99863201094391241</v>
      </c>
      <c r="AL785" s="3">
        <f t="shared" si="295"/>
        <v>41.942544459644324</v>
      </c>
      <c r="AM785" s="3">
        <f t="shared" si="296"/>
        <v>104.85636114911081</v>
      </c>
      <c r="AN785" s="3">
        <f t="shared" si="297"/>
        <v>0</v>
      </c>
      <c r="AO785" s="3">
        <f t="shared" si="298"/>
        <v>104.85636114911081</v>
      </c>
      <c r="AP785" s="1" t="str">
        <f>INDEX({"EAD";"EAD";"EAD";"EAD MOOC";"EAD";"EAD";"EAD FP";"EAD";"PRESENCIAL";"PRESENCIAL";"PRESENCIAL";"PRESENCIAL"}, MATCH(CONCATENATE(E785, ".", F785),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86" spans="1:42" x14ac:dyDescent="0.25">
      <c r="A786" s="1" t="s">
        <v>27</v>
      </c>
      <c r="B786" s="1" t="s">
        <v>43</v>
      </c>
      <c r="C786" s="1" t="s">
        <v>29</v>
      </c>
      <c r="D786" s="1" t="s">
        <v>45</v>
      </c>
      <c r="E786" s="1" t="s">
        <v>170</v>
      </c>
      <c r="F786" s="1" t="s">
        <v>510</v>
      </c>
      <c r="G786" s="1" t="s">
        <v>278</v>
      </c>
      <c r="H786" s="1" t="s">
        <v>320</v>
      </c>
      <c r="I786" s="1" t="s">
        <v>172</v>
      </c>
      <c r="J786" s="1" t="s">
        <v>125</v>
      </c>
      <c r="K786" s="1" t="s">
        <v>109</v>
      </c>
      <c r="L786" s="1">
        <v>3010814</v>
      </c>
      <c r="M786" s="1" t="s">
        <v>969</v>
      </c>
      <c r="N786" s="5">
        <f t="shared" si="300"/>
        <v>45082</v>
      </c>
      <c r="O786" s="5">
        <f>DATE(2027,7,5)</f>
        <v>46573</v>
      </c>
      <c r="P786" s="5">
        <f t="shared" si="279"/>
        <v>47668</v>
      </c>
      <c r="Q786" s="1">
        <v>3500</v>
      </c>
      <c r="R786" s="1">
        <v>3200</v>
      </c>
      <c r="S786" s="1">
        <f t="shared" si="280"/>
        <v>3200</v>
      </c>
      <c r="T786" s="1">
        <v>2.5</v>
      </c>
      <c r="U786" s="1" t="str">
        <f t="shared" si="281"/>
        <v>SIM</v>
      </c>
      <c r="V786" s="1">
        <f t="shared" si="282"/>
        <v>1492</v>
      </c>
      <c r="W786" s="4">
        <f t="shared" si="283"/>
        <v>2.1447721179624666</v>
      </c>
      <c r="X786" s="4">
        <f t="shared" si="284"/>
        <v>782.84182305630031</v>
      </c>
      <c r="Y786" s="4">
        <f t="shared" si="285"/>
        <v>0.97855227882037543</v>
      </c>
      <c r="AB786" s="5">
        <f t="shared" si="286"/>
        <v>45292</v>
      </c>
      <c r="AC786" s="5">
        <f t="shared" si="287"/>
        <v>45657</v>
      </c>
      <c r="AD786" s="1">
        <v>27</v>
      </c>
      <c r="AE786" s="1">
        <f t="shared" si="288"/>
        <v>366</v>
      </c>
      <c r="AF786" s="1">
        <f t="shared" si="289"/>
        <v>0</v>
      </c>
      <c r="AG786" s="1">
        <f t="shared" si="290"/>
        <v>0</v>
      </c>
      <c r="AH786" s="1">
        <f t="shared" si="291"/>
        <v>0</v>
      </c>
      <c r="AI786" s="1">
        <f t="shared" si="292"/>
        <v>0</v>
      </c>
      <c r="AJ786" s="3">
        <f t="shared" si="293"/>
        <v>1</v>
      </c>
      <c r="AK786" s="3">
        <f t="shared" si="294"/>
        <v>0.97855227882037543</v>
      </c>
      <c r="AL786" s="3">
        <f t="shared" si="295"/>
        <v>26.420911528150135</v>
      </c>
      <c r="AM786" s="3">
        <f t="shared" si="296"/>
        <v>66.052278820375335</v>
      </c>
      <c r="AN786" s="3">
        <f t="shared" si="297"/>
        <v>0</v>
      </c>
      <c r="AO786" s="3">
        <f t="shared" si="298"/>
        <v>66.052278820375335</v>
      </c>
      <c r="AP786" s="1" t="str">
        <f>INDEX({"EAD";"EAD";"EAD";"EAD MOOC";"EAD";"EAD";"EAD FP";"EAD";"PRESENCIAL";"PRESENCIAL";"PRESENCIAL";"PRESENCIAL"}, MATCH(CONCATENATE(E786, ".", F786),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87" spans="1:42" x14ac:dyDescent="0.25">
      <c r="A787" s="1" t="s">
        <v>27</v>
      </c>
      <c r="B787" s="1" t="s">
        <v>43</v>
      </c>
      <c r="C787" s="1" t="s">
        <v>29</v>
      </c>
      <c r="D787" s="1" t="s">
        <v>45</v>
      </c>
      <c r="E787" s="1" t="s">
        <v>170</v>
      </c>
      <c r="F787" s="1" t="s">
        <v>510</v>
      </c>
      <c r="G787" s="1" t="s">
        <v>278</v>
      </c>
      <c r="H787" s="1" t="s">
        <v>320</v>
      </c>
      <c r="I787" s="1" t="s">
        <v>172</v>
      </c>
      <c r="J787" s="1" t="s">
        <v>125</v>
      </c>
      <c r="K787" s="1" t="s">
        <v>109</v>
      </c>
      <c r="L787" s="1">
        <v>3010836</v>
      </c>
      <c r="M787" s="1" t="s">
        <v>968</v>
      </c>
      <c r="N787" s="5">
        <f t="shared" si="300"/>
        <v>45082</v>
      </c>
      <c r="O787" s="5">
        <f>DATE(2027,6,5)</f>
        <v>46543</v>
      </c>
      <c r="P787" s="5">
        <f t="shared" si="279"/>
        <v>47638</v>
      </c>
      <c r="Q787" s="1">
        <v>3500</v>
      </c>
      <c r="R787" s="1">
        <v>3200</v>
      </c>
      <c r="S787" s="1">
        <f t="shared" si="280"/>
        <v>3200</v>
      </c>
      <c r="T787" s="1">
        <v>2.5</v>
      </c>
      <c r="U787" s="1" t="str">
        <f t="shared" si="281"/>
        <v>SIM</v>
      </c>
      <c r="V787" s="1">
        <f t="shared" si="282"/>
        <v>1462</v>
      </c>
      <c r="W787" s="4">
        <f t="shared" si="283"/>
        <v>2.188782489740082</v>
      </c>
      <c r="X787" s="4">
        <f t="shared" si="284"/>
        <v>798.90560875512995</v>
      </c>
      <c r="Y787" s="4">
        <f t="shared" si="285"/>
        <v>0.99863201094391241</v>
      </c>
      <c r="AB787" s="5">
        <f t="shared" si="286"/>
        <v>45292</v>
      </c>
      <c r="AC787" s="5">
        <f t="shared" si="287"/>
        <v>45657</v>
      </c>
      <c r="AD787" s="1">
        <v>27</v>
      </c>
      <c r="AE787" s="1">
        <f t="shared" si="288"/>
        <v>366</v>
      </c>
      <c r="AF787" s="1">
        <f t="shared" si="289"/>
        <v>0</v>
      </c>
      <c r="AG787" s="1">
        <f t="shared" si="290"/>
        <v>0</v>
      </c>
      <c r="AH787" s="1">
        <f t="shared" si="291"/>
        <v>0</v>
      </c>
      <c r="AI787" s="1">
        <f t="shared" si="292"/>
        <v>0</v>
      </c>
      <c r="AJ787" s="3">
        <f t="shared" si="293"/>
        <v>1</v>
      </c>
      <c r="AK787" s="3">
        <f t="shared" si="294"/>
        <v>0.99863201094391241</v>
      </c>
      <c r="AL787" s="3">
        <f t="shared" si="295"/>
        <v>26.963064295485633</v>
      </c>
      <c r="AM787" s="3">
        <f t="shared" si="296"/>
        <v>67.407660738714085</v>
      </c>
      <c r="AN787" s="3">
        <f t="shared" si="297"/>
        <v>0</v>
      </c>
      <c r="AO787" s="3">
        <f t="shared" si="298"/>
        <v>67.407660738714085</v>
      </c>
      <c r="AP787" s="1" t="str">
        <f>INDEX({"EAD";"EAD";"EAD";"EAD MOOC";"EAD";"EAD";"EAD FP";"EAD";"PRESENCIAL";"PRESENCIAL";"PRESENCIAL";"PRESENCIAL"}, MATCH(CONCATENATE(E787, ".", F787),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88" spans="1:42" x14ac:dyDescent="0.25">
      <c r="A788" s="1" t="s">
        <v>27</v>
      </c>
      <c r="B788" s="1" t="s">
        <v>43</v>
      </c>
      <c r="C788" s="1" t="s">
        <v>29</v>
      </c>
      <c r="D788" s="1" t="s">
        <v>45</v>
      </c>
      <c r="E788" s="1" t="s">
        <v>170</v>
      </c>
      <c r="F788" s="1" t="s">
        <v>510</v>
      </c>
      <c r="G788" s="1" t="s">
        <v>278</v>
      </c>
      <c r="H788" s="1" t="s">
        <v>320</v>
      </c>
      <c r="I788" s="1" t="s">
        <v>172</v>
      </c>
      <c r="J788" s="1" t="s">
        <v>125</v>
      </c>
      <c r="K788" s="1" t="s">
        <v>109</v>
      </c>
      <c r="L788" s="1">
        <v>3010862</v>
      </c>
      <c r="M788" s="1" t="s">
        <v>969</v>
      </c>
      <c r="N788" s="5">
        <f t="shared" si="300"/>
        <v>45082</v>
      </c>
      <c r="O788" s="5">
        <f>DATE(2027,7,5)</f>
        <v>46573</v>
      </c>
      <c r="P788" s="5">
        <f t="shared" si="279"/>
        <v>47668</v>
      </c>
      <c r="Q788" s="1">
        <v>3500</v>
      </c>
      <c r="R788" s="1">
        <v>3200</v>
      </c>
      <c r="S788" s="1">
        <f t="shared" si="280"/>
        <v>3200</v>
      </c>
      <c r="T788" s="1">
        <v>2.5</v>
      </c>
      <c r="U788" s="1" t="str">
        <f t="shared" si="281"/>
        <v>SIM</v>
      </c>
      <c r="V788" s="1">
        <f t="shared" si="282"/>
        <v>1492</v>
      </c>
      <c r="W788" s="4">
        <f t="shared" si="283"/>
        <v>2.1447721179624666</v>
      </c>
      <c r="X788" s="4">
        <f t="shared" si="284"/>
        <v>782.84182305630031</v>
      </c>
      <c r="Y788" s="4">
        <f t="shared" si="285"/>
        <v>0.97855227882037543</v>
      </c>
      <c r="AB788" s="5">
        <f t="shared" si="286"/>
        <v>45292</v>
      </c>
      <c r="AC788" s="5">
        <f t="shared" si="287"/>
        <v>45657</v>
      </c>
      <c r="AD788" s="1">
        <v>21</v>
      </c>
      <c r="AE788" s="1">
        <f t="shared" si="288"/>
        <v>366</v>
      </c>
      <c r="AF788" s="1">
        <f t="shared" si="289"/>
        <v>0</v>
      </c>
      <c r="AG788" s="1">
        <f t="shared" si="290"/>
        <v>0</v>
      </c>
      <c r="AH788" s="1">
        <f t="shared" si="291"/>
        <v>0</v>
      </c>
      <c r="AI788" s="1">
        <f t="shared" si="292"/>
        <v>0</v>
      </c>
      <c r="AJ788" s="3">
        <f t="shared" si="293"/>
        <v>1</v>
      </c>
      <c r="AK788" s="3">
        <f t="shared" si="294"/>
        <v>0.97855227882037543</v>
      </c>
      <c r="AL788" s="3">
        <f t="shared" si="295"/>
        <v>20.549597855227884</v>
      </c>
      <c r="AM788" s="3">
        <f t="shared" si="296"/>
        <v>51.373994638069711</v>
      </c>
      <c r="AN788" s="3">
        <f t="shared" si="297"/>
        <v>0</v>
      </c>
      <c r="AO788" s="3">
        <f t="shared" si="298"/>
        <v>51.373994638069711</v>
      </c>
      <c r="AP788" s="1" t="str">
        <f>INDEX({"EAD";"EAD";"EAD";"EAD MOOC";"EAD";"EAD";"EAD FP";"EAD";"PRESENCIAL";"PRESENCIAL";"PRESENCIAL";"PRESENCIAL"}, MATCH(CONCATENATE(E788, ".", F788),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89" spans="1:42" x14ac:dyDescent="0.25">
      <c r="A789" s="1" t="s">
        <v>27</v>
      </c>
      <c r="B789" s="1" t="s">
        <v>43</v>
      </c>
      <c r="C789" s="1" t="s">
        <v>29</v>
      </c>
      <c r="D789" s="1" t="s">
        <v>45</v>
      </c>
      <c r="E789" s="1" t="s">
        <v>170</v>
      </c>
      <c r="F789" s="1" t="s">
        <v>510</v>
      </c>
      <c r="G789" s="1" t="s">
        <v>278</v>
      </c>
      <c r="H789" s="1" t="s">
        <v>320</v>
      </c>
      <c r="I789" s="1" t="s">
        <v>172</v>
      </c>
      <c r="J789" s="1" t="s">
        <v>125</v>
      </c>
      <c r="K789" s="1" t="s">
        <v>109</v>
      </c>
      <c r="L789" s="1">
        <v>3010875</v>
      </c>
      <c r="M789" s="1" t="s">
        <v>969</v>
      </c>
      <c r="N789" s="5">
        <f t="shared" si="300"/>
        <v>45082</v>
      </c>
      <c r="O789" s="5">
        <f>DATE(2027,7,5)</f>
        <v>46573</v>
      </c>
      <c r="P789" s="5">
        <f t="shared" si="279"/>
        <v>47668</v>
      </c>
      <c r="Q789" s="1">
        <v>3500</v>
      </c>
      <c r="R789" s="1">
        <v>3200</v>
      </c>
      <c r="S789" s="1">
        <f t="shared" si="280"/>
        <v>3200</v>
      </c>
      <c r="T789" s="1">
        <v>2.5</v>
      </c>
      <c r="U789" s="1" t="str">
        <f t="shared" si="281"/>
        <v>SIM</v>
      </c>
      <c r="V789" s="1">
        <f t="shared" si="282"/>
        <v>1492</v>
      </c>
      <c r="W789" s="4">
        <f t="shared" si="283"/>
        <v>2.1447721179624666</v>
      </c>
      <c r="X789" s="4">
        <f t="shared" si="284"/>
        <v>782.84182305630031</v>
      </c>
      <c r="Y789" s="4">
        <f t="shared" si="285"/>
        <v>0.97855227882037543</v>
      </c>
      <c r="AB789" s="5">
        <f t="shared" si="286"/>
        <v>45292</v>
      </c>
      <c r="AC789" s="5">
        <f t="shared" si="287"/>
        <v>45657</v>
      </c>
      <c r="AD789" s="1">
        <v>25</v>
      </c>
      <c r="AE789" s="1">
        <f t="shared" si="288"/>
        <v>366</v>
      </c>
      <c r="AF789" s="1">
        <f t="shared" si="289"/>
        <v>0</v>
      </c>
      <c r="AG789" s="1">
        <f t="shared" si="290"/>
        <v>0</v>
      </c>
      <c r="AH789" s="1">
        <f t="shared" si="291"/>
        <v>0</v>
      </c>
      <c r="AI789" s="1">
        <f t="shared" si="292"/>
        <v>0</v>
      </c>
      <c r="AJ789" s="3">
        <f t="shared" si="293"/>
        <v>1</v>
      </c>
      <c r="AK789" s="3">
        <f t="shared" si="294"/>
        <v>0.97855227882037543</v>
      </c>
      <c r="AL789" s="3">
        <f t="shared" si="295"/>
        <v>24.463806970509385</v>
      </c>
      <c r="AM789" s="3">
        <f t="shared" si="296"/>
        <v>61.15951742627346</v>
      </c>
      <c r="AN789" s="3">
        <f t="shared" si="297"/>
        <v>0</v>
      </c>
      <c r="AO789" s="3">
        <f t="shared" si="298"/>
        <v>61.15951742627346</v>
      </c>
      <c r="AP789" s="1" t="str">
        <f>INDEX({"EAD";"EAD";"EAD";"EAD MOOC";"EAD";"EAD";"EAD FP";"EAD";"PRESENCIAL";"PRESENCIAL";"PRESENCIAL";"PRESENCIAL"}, MATCH(CONCATENATE(E789, ".", F789),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90" spans="1:42" x14ac:dyDescent="0.25">
      <c r="A790" s="1" t="s">
        <v>27</v>
      </c>
      <c r="B790" s="1" t="s">
        <v>43</v>
      </c>
      <c r="C790" s="1" t="s">
        <v>29</v>
      </c>
      <c r="D790" s="1" t="s">
        <v>45</v>
      </c>
      <c r="E790" s="1" t="s">
        <v>170</v>
      </c>
      <c r="F790" s="1" t="s">
        <v>510</v>
      </c>
      <c r="G790" s="1" t="s">
        <v>278</v>
      </c>
      <c r="H790" s="1" t="s">
        <v>279</v>
      </c>
      <c r="I790" s="1" t="s">
        <v>172</v>
      </c>
      <c r="J790" s="1" t="s">
        <v>125</v>
      </c>
      <c r="K790" s="1" t="s">
        <v>109</v>
      </c>
      <c r="L790" s="1">
        <v>3011145</v>
      </c>
      <c r="M790" s="1" t="s">
        <v>970</v>
      </c>
      <c r="N790" s="5">
        <f t="shared" si="300"/>
        <v>45082</v>
      </c>
      <c r="O790" s="5">
        <f>DATE(2027,6,5)</f>
        <v>46543</v>
      </c>
      <c r="P790" s="5">
        <f t="shared" si="279"/>
        <v>47638</v>
      </c>
      <c r="Q790" s="1">
        <v>3470</v>
      </c>
      <c r="R790" s="1">
        <v>3200</v>
      </c>
      <c r="S790" s="1">
        <f t="shared" si="280"/>
        <v>3200</v>
      </c>
      <c r="T790" s="1">
        <v>2.5</v>
      </c>
      <c r="U790" s="1" t="str">
        <f t="shared" si="281"/>
        <v>SIM</v>
      </c>
      <c r="V790" s="1">
        <f t="shared" si="282"/>
        <v>1462</v>
      </c>
      <c r="W790" s="4">
        <f t="shared" si="283"/>
        <v>2.188782489740082</v>
      </c>
      <c r="X790" s="4">
        <f t="shared" si="284"/>
        <v>798.90560875512995</v>
      </c>
      <c r="Y790" s="4">
        <f t="shared" si="285"/>
        <v>0.99863201094391241</v>
      </c>
      <c r="AB790" s="5">
        <f t="shared" si="286"/>
        <v>45292</v>
      </c>
      <c r="AC790" s="5">
        <f t="shared" si="287"/>
        <v>45657</v>
      </c>
      <c r="AD790" s="1">
        <v>38</v>
      </c>
      <c r="AE790" s="1">
        <f t="shared" si="288"/>
        <v>366</v>
      </c>
      <c r="AF790" s="1">
        <f t="shared" si="289"/>
        <v>0</v>
      </c>
      <c r="AG790" s="1">
        <f t="shared" si="290"/>
        <v>0</v>
      </c>
      <c r="AH790" s="1">
        <f t="shared" si="291"/>
        <v>0</v>
      </c>
      <c r="AI790" s="1">
        <f t="shared" si="292"/>
        <v>0</v>
      </c>
      <c r="AJ790" s="3">
        <f t="shared" si="293"/>
        <v>1</v>
      </c>
      <c r="AK790" s="3">
        <f t="shared" si="294"/>
        <v>0.99863201094391241</v>
      </c>
      <c r="AL790" s="3">
        <f t="shared" si="295"/>
        <v>37.948016415868672</v>
      </c>
      <c r="AM790" s="3">
        <f t="shared" si="296"/>
        <v>94.870041039671676</v>
      </c>
      <c r="AN790" s="3">
        <f t="shared" si="297"/>
        <v>0</v>
      </c>
      <c r="AO790" s="3">
        <f t="shared" si="298"/>
        <v>94.870041039671676</v>
      </c>
      <c r="AP790" s="1" t="str">
        <f>INDEX({"EAD";"EAD";"EAD";"EAD MOOC";"EAD";"EAD";"EAD FP";"EAD";"PRESENCIAL";"PRESENCIAL";"PRESENCIAL";"PRESENCIAL"}, MATCH(CONCATENATE(E790, ".", F790),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91" spans="1:42" x14ac:dyDescent="0.25">
      <c r="A791" s="1" t="s">
        <v>27</v>
      </c>
      <c r="B791" s="1" t="s">
        <v>43</v>
      </c>
      <c r="C791" s="1" t="s">
        <v>29</v>
      </c>
      <c r="D791" s="1" t="s">
        <v>45</v>
      </c>
      <c r="E791" s="1" t="s">
        <v>170</v>
      </c>
      <c r="F791" s="1" t="s">
        <v>510</v>
      </c>
      <c r="G791" s="1" t="s">
        <v>278</v>
      </c>
      <c r="H791" s="1" t="s">
        <v>279</v>
      </c>
      <c r="I791" s="1" t="s">
        <v>172</v>
      </c>
      <c r="J791" s="1" t="s">
        <v>125</v>
      </c>
      <c r="K791" s="1" t="s">
        <v>109</v>
      </c>
      <c r="L791" s="1">
        <v>3011212</v>
      </c>
      <c r="M791" s="1" t="s">
        <v>971</v>
      </c>
      <c r="N791" s="5">
        <f t="shared" si="300"/>
        <v>45082</v>
      </c>
      <c r="O791" s="5">
        <f>DATE(2027,7,5)</f>
        <v>46573</v>
      </c>
      <c r="P791" s="5">
        <f t="shared" si="279"/>
        <v>47668</v>
      </c>
      <c r="Q791" s="1">
        <v>3470</v>
      </c>
      <c r="R791" s="1">
        <v>3200</v>
      </c>
      <c r="S791" s="1">
        <f t="shared" si="280"/>
        <v>3200</v>
      </c>
      <c r="T791" s="1">
        <v>2.5</v>
      </c>
      <c r="U791" s="1" t="str">
        <f t="shared" si="281"/>
        <v>SIM</v>
      </c>
      <c r="V791" s="1">
        <f t="shared" si="282"/>
        <v>1492</v>
      </c>
      <c r="W791" s="4">
        <f t="shared" si="283"/>
        <v>2.1447721179624666</v>
      </c>
      <c r="X791" s="4">
        <f t="shared" si="284"/>
        <v>782.84182305630031</v>
      </c>
      <c r="Y791" s="4">
        <f t="shared" si="285"/>
        <v>0.97855227882037543</v>
      </c>
      <c r="AB791" s="5">
        <f t="shared" si="286"/>
        <v>45292</v>
      </c>
      <c r="AC791" s="5">
        <f t="shared" si="287"/>
        <v>45657</v>
      </c>
      <c r="AD791" s="1">
        <v>16</v>
      </c>
      <c r="AE791" s="1">
        <f t="shared" si="288"/>
        <v>366</v>
      </c>
      <c r="AF791" s="1">
        <f t="shared" si="289"/>
        <v>0</v>
      </c>
      <c r="AG791" s="1">
        <f t="shared" si="290"/>
        <v>0</v>
      </c>
      <c r="AH791" s="1">
        <f t="shared" si="291"/>
        <v>0</v>
      </c>
      <c r="AI791" s="1">
        <f t="shared" si="292"/>
        <v>0</v>
      </c>
      <c r="AJ791" s="3">
        <f t="shared" si="293"/>
        <v>1</v>
      </c>
      <c r="AK791" s="3">
        <f t="shared" si="294"/>
        <v>0.97855227882037543</v>
      </c>
      <c r="AL791" s="3">
        <f t="shared" si="295"/>
        <v>15.656836461126007</v>
      </c>
      <c r="AM791" s="3">
        <f t="shared" si="296"/>
        <v>39.14209115281502</v>
      </c>
      <c r="AN791" s="3">
        <f t="shared" si="297"/>
        <v>0</v>
      </c>
      <c r="AO791" s="3">
        <f t="shared" si="298"/>
        <v>39.14209115281502</v>
      </c>
      <c r="AP791" s="1" t="str">
        <f>INDEX({"EAD";"EAD";"EAD";"EAD MOOC";"EAD";"EAD";"EAD FP";"EAD";"PRESENCIAL";"PRESENCIAL";"PRESENCIAL";"PRESENCIAL"}, MATCH(CONCATENATE(E791, ".", F791),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92" spans="1:42" x14ac:dyDescent="0.25">
      <c r="A792" s="1" t="s">
        <v>27</v>
      </c>
      <c r="B792" s="1" t="s">
        <v>43</v>
      </c>
      <c r="C792" s="1" t="s">
        <v>29</v>
      </c>
      <c r="D792" s="1" t="s">
        <v>45</v>
      </c>
      <c r="E792" s="1" t="s">
        <v>170</v>
      </c>
      <c r="F792" s="1" t="s">
        <v>510</v>
      </c>
      <c r="G792" s="1" t="s">
        <v>278</v>
      </c>
      <c r="H792" s="1" t="s">
        <v>279</v>
      </c>
      <c r="I792" s="1" t="s">
        <v>172</v>
      </c>
      <c r="J792" s="1" t="s">
        <v>125</v>
      </c>
      <c r="K792" s="1" t="s">
        <v>109</v>
      </c>
      <c r="L792" s="1">
        <v>3011249</v>
      </c>
      <c r="M792" s="1" t="s">
        <v>970</v>
      </c>
      <c r="N792" s="5">
        <f t="shared" si="300"/>
        <v>45082</v>
      </c>
      <c r="O792" s="5">
        <f>DATE(2027,6,5)</f>
        <v>46543</v>
      </c>
      <c r="P792" s="5">
        <f t="shared" si="279"/>
        <v>47638</v>
      </c>
      <c r="Q792" s="1">
        <v>3470</v>
      </c>
      <c r="R792" s="1">
        <v>3200</v>
      </c>
      <c r="S792" s="1">
        <f t="shared" si="280"/>
        <v>3200</v>
      </c>
      <c r="T792" s="1">
        <v>2.5</v>
      </c>
      <c r="U792" s="1" t="str">
        <f t="shared" si="281"/>
        <v>SIM</v>
      </c>
      <c r="V792" s="1">
        <f t="shared" si="282"/>
        <v>1462</v>
      </c>
      <c r="W792" s="4">
        <f t="shared" si="283"/>
        <v>2.188782489740082</v>
      </c>
      <c r="X792" s="4">
        <f t="shared" si="284"/>
        <v>798.90560875512995</v>
      </c>
      <c r="Y792" s="4">
        <f t="shared" si="285"/>
        <v>0.99863201094391241</v>
      </c>
      <c r="AB792" s="5">
        <f t="shared" si="286"/>
        <v>45292</v>
      </c>
      <c r="AC792" s="5">
        <f t="shared" si="287"/>
        <v>45657</v>
      </c>
      <c r="AD792" s="1">
        <v>12</v>
      </c>
      <c r="AE792" s="1">
        <f t="shared" si="288"/>
        <v>366</v>
      </c>
      <c r="AF792" s="1">
        <f t="shared" si="289"/>
        <v>0</v>
      </c>
      <c r="AG792" s="1">
        <f t="shared" si="290"/>
        <v>0</v>
      </c>
      <c r="AH792" s="1">
        <f t="shared" si="291"/>
        <v>0</v>
      </c>
      <c r="AI792" s="1">
        <f t="shared" si="292"/>
        <v>0</v>
      </c>
      <c r="AJ792" s="3">
        <f t="shared" si="293"/>
        <v>1</v>
      </c>
      <c r="AK792" s="3">
        <f t="shared" si="294"/>
        <v>0.99863201094391241</v>
      </c>
      <c r="AL792" s="3">
        <f t="shared" si="295"/>
        <v>11.98358413132695</v>
      </c>
      <c r="AM792" s="3">
        <f t="shared" si="296"/>
        <v>29.958960328317374</v>
      </c>
      <c r="AN792" s="3">
        <f t="shared" si="297"/>
        <v>0</v>
      </c>
      <c r="AO792" s="3">
        <f t="shared" si="298"/>
        <v>29.958960328317374</v>
      </c>
      <c r="AP792" s="1" t="str">
        <f>INDEX({"EAD";"EAD";"EAD";"EAD MOOC";"EAD";"EAD";"EAD FP";"EAD";"PRESENCIAL";"PRESENCIAL";"PRESENCIAL";"PRESENCIAL"}, MATCH(CONCATENATE(E792, ".", F792),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93" spans="1:42" x14ac:dyDescent="0.25">
      <c r="A793" s="1" t="s">
        <v>27</v>
      </c>
      <c r="B793" s="1" t="s">
        <v>43</v>
      </c>
      <c r="C793" s="1" t="s">
        <v>29</v>
      </c>
      <c r="D793" s="1" t="s">
        <v>45</v>
      </c>
      <c r="E793" s="1" t="s">
        <v>170</v>
      </c>
      <c r="F793" s="1" t="s">
        <v>510</v>
      </c>
      <c r="G793" s="1" t="s">
        <v>278</v>
      </c>
      <c r="H793" s="1" t="s">
        <v>279</v>
      </c>
      <c r="I793" s="1" t="s">
        <v>172</v>
      </c>
      <c r="J793" s="1" t="s">
        <v>125</v>
      </c>
      <c r="K793" s="1" t="s">
        <v>109</v>
      </c>
      <c r="L793" s="1">
        <v>3011583</v>
      </c>
      <c r="M793" s="1" t="s">
        <v>971</v>
      </c>
      <c r="N793" s="5">
        <f t="shared" si="300"/>
        <v>45082</v>
      </c>
      <c r="O793" s="5">
        <f>DATE(2027,7,5)</f>
        <v>46573</v>
      </c>
      <c r="P793" s="5">
        <f t="shared" si="279"/>
        <v>47668</v>
      </c>
      <c r="Q793" s="1">
        <v>3470</v>
      </c>
      <c r="R793" s="1">
        <v>3200</v>
      </c>
      <c r="S793" s="1">
        <f t="shared" si="280"/>
        <v>3200</v>
      </c>
      <c r="T793" s="1">
        <v>2.5</v>
      </c>
      <c r="U793" s="1" t="str">
        <f t="shared" si="281"/>
        <v>SIM</v>
      </c>
      <c r="V793" s="1">
        <f t="shared" si="282"/>
        <v>1492</v>
      </c>
      <c r="W793" s="4">
        <f t="shared" si="283"/>
        <v>2.1447721179624666</v>
      </c>
      <c r="X793" s="4">
        <f t="shared" si="284"/>
        <v>782.84182305630031</v>
      </c>
      <c r="Y793" s="4">
        <f t="shared" si="285"/>
        <v>0.97855227882037543</v>
      </c>
      <c r="AB793" s="5">
        <f t="shared" si="286"/>
        <v>45292</v>
      </c>
      <c r="AC793" s="5">
        <f t="shared" si="287"/>
        <v>45657</v>
      </c>
      <c r="AD793" s="1">
        <v>10</v>
      </c>
      <c r="AE793" s="1">
        <f t="shared" si="288"/>
        <v>366</v>
      </c>
      <c r="AF793" s="1">
        <f t="shared" si="289"/>
        <v>0</v>
      </c>
      <c r="AG793" s="1">
        <f t="shared" si="290"/>
        <v>0</v>
      </c>
      <c r="AH793" s="1">
        <f t="shared" si="291"/>
        <v>0</v>
      </c>
      <c r="AI793" s="1">
        <f t="shared" si="292"/>
        <v>0</v>
      </c>
      <c r="AJ793" s="3">
        <f t="shared" si="293"/>
        <v>1</v>
      </c>
      <c r="AK793" s="3">
        <f t="shared" si="294"/>
        <v>0.97855227882037543</v>
      </c>
      <c r="AL793" s="3">
        <f t="shared" si="295"/>
        <v>9.785522788203755</v>
      </c>
      <c r="AM793" s="3">
        <f t="shared" si="296"/>
        <v>24.463806970509388</v>
      </c>
      <c r="AN793" s="3">
        <f t="shared" si="297"/>
        <v>0</v>
      </c>
      <c r="AO793" s="3">
        <f t="shared" si="298"/>
        <v>24.463806970509388</v>
      </c>
      <c r="AP793" s="1" t="str">
        <f>INDEX({"EAD";"EAD";"EAD";"EAD MOOC";"EAD";"EAD";"EAD FP";"EAD";"PRESENCIAL";"PRESENCIAL";"PRESENCIAL";"PRESENCIAL"}, MATCH(CONCATENATE(E793, ".", F793),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94" spans="1:42" x14ac:dyDescent="0.25">
      <c r="A794" s="1" t="s">
        <v>27</v>
      </c>
      <c r="B794" s="1" t="s">
        <v>43</v>
      </c>
      <c r="C794" s="1" t="s">
        <v>29</v>
      </c>
      <c r="D794" s="1" t="s">
        <v>45</v>
      </c>
      <c r="E794" s="1" t="s">
        <v>170</v>
      </c>
      <c r="F794" s="1" t="s">
        <v>510</v>
      </c>
      <c r="G794" s="1" t="s">
        <v>278</v>
      </c>
      <c r="H794" s="1" t="s">
        <v>279</v>
      </c>
      <c r="I794" s="1" t="s">
        <v>172</v>
      </c>
      <c r="J794" s="1" t="s">
        <v>125</v>
      </c>
      <c r="K794" s="1" t="s">
        <v>109</v>
      </c>
      <c r="L794" s="1">
        <v>3011628</v>
      </c>
      <c r="M794" s="1" t="s">
        <v>970</v>
      </c>
      <c r="N794" s="5">
        <f t="shared" si="300"/>
        <v>45082</v>
      </c>
      <c r="O794" s="5">
        <f>DATE(2027,6,5)</f>
        <v>46543</v>
      </c>
      <c r="P794" s="5">
        <f t="shared" si="279"/>
        <v>47638</v>
      </c>
      <c r="Q794" s="1">
        <v>3470</v>
      </c>
      <c r="R794" s="1">
        <v>3200</v>
      </c>
      <c r="S794" s="1">
        <f t="shared" si="280"/>
        <v>3200</v>
      </c>
      <c r="T794" s="1">
        <v>2.5</v>
      </c>
      <c r="U794" s="1" t="str">
        <f t="shared" si="281"/>
        <v>SIM</v>
      </c>
      <c r="V794" s="1">
        <f t="shared" si="282"/>
        <v>1462</v>
      </c>
      <c r="W794" s="4">
        <f t="shared" si="283"/>
        <v>2.188782489740082</v>
      </c>
      <c r="X794" s="4">
        <f t="shared" si="284"/>
        <v>798.90560875512995</v>
      </c>
      <c r="Y794" s="4">
        <f t="shared" si="285"/>
        <v>0.99863201094391241</v>
      </c>
      <c r="AB794" s="5">
        <f t="shared" si="286"/>
        <v>45292</v>
      </c>
      <c r="AC794" s="5">
        <f t="shared" si="287"/>
        <v>45657</v>
      </c>
      <c r="AD794" s="1">
        <v>8</v>
      </c>
      <c r="AE794" s="1">
        <f t="shared" si="288"/>
        <v>366</v>
      </c>
      <c r="AF794" s="1">
        <f t="shared" si="289"/>
        <v>0</v>
      </c>
      <c r="AG794" s="1">
        <f t="shared" si="290"/>
        <v>0</v>
      </c>
      <c r="AH794" s="1">
        <f t="shared" si="291"/>
        <v>0</v>
      </c>
      <c r="AI794" s="1">
        <f t="shared" si="292"/>
        <v>0</v>
      </c>
      <c r="AJ794" s="3">
        <f t="shared" si="293"/>
        <v>1</v>
      </c>
      <c r="AK794" s="3">
        <f t="shared" si="294"/>
        <v>0.99863201094391241</v>
      </c>
      <c r="AL794" s="3">
        <f t="shared" si="295"/>
        <v>7.9890560875512993</v>
      </c>
      <c r="AM794" s="3">
        <f t="shared" si="296"/>
        <v>19.972640218878247</v>
      </c>
      <c r="AN794" s="3">
        <f t="shared" si="297"/>
        <v>0</v>
      </c>
      <c r="AO794" s="3">
        <f t="shared" si="298"/>
        <v>19.972640218878247</v>
      </c>
      <c r="AP794" s="1" t="str">
        <f>INDEX({"EAD";"EAD";"EAD";"EAD MOOC";"EAD";"EAD";"EAD FP";"EAD";"PRESENCIAL";"PRESENCIAL";"PRESENCIAL";"PRESENCIAL"}, MATCH(CONCATENATE(E794, ".", F794),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95" spans="1:42" x14ac:dyDescent="0.25">
      <c r="A795" s="1" t="s">
        <v>27</v>
      </c>
      <c r="B795" s="1" t="s">
        <v>43</v>
      </c>
      <c r="C795" s="1" t="s">
        <v>29</v>
      </c>
      <c r="D795" s="1" t="s">
        <v>45</v>
      </c>
      <c r="E795" s="1" t="s">
        <v>170</v>
      </c>
      <c r="F795" s="1" t="s">
        <v>510</v>
      </c>
      <c r="G795" s="1" t="s">
        <v>278</v>
      </c>
      <c r="H795" s="1" t="s">
        <v>279</v>
      </c>
      <c r="I795" s="1" t="s">
        <v>172</v>
      </c>
      <c r="J795" s="1" t="s">
        <v>125</v>
      </c>
      <c r="K795" s="1" t="s">
        <v>109</v>
      </c>
      <c r="L795" s="1">
        <v>3011639</v>
      </c>
      <c r="M795" s="1" t="s">
        <v>970</v>
      </c>
      <c r="N795" s="5">
        <f t="shared" si="300"/>
        <v>45082</v>
      </c>
      <c r="O795" s="5">
        <f>DATE(2027,6,5)</f>
        <v>46543</v>
      </c>
      <c r="P795" s="5">
        <f t="shared" si="279"/>
        <v>47638</v>
      </c>
      <c r="Q795" s="1">
        <v>3470</v>
      </c>
      <c r="R795" s="1">
        <v>3200</v>
      </c>
      <c r="S795" s="1">
        <f t="shared" si="280"/>
        <v>3200</v>
      </c>
      <c r="T795" s="1">
        <v>2.5</v>
      </c>
      <c r="U795" s="1" t="str">
        <f t="shared" si="281"/>
        <v>SIM</v>
      </c>
      <c r="V795" s="1">
        <f t="shared" si="282"/>
        <v>1462</v>
      </c>
      <c r="W795" s="4">
        <f t="shared" si="283"/>
        <v>2.188782489740082</v>
      </c>
      <c r="X795" s="4">
        <f t="shared" si="284"/>
        <v>798.90560875512995</v>
      </c>
      <c r="Y795" s="4">
        <f t="shared" si="285"/>
        <v>0.99863201094391241</v>
      </c>
      <c r="AB795" s="5">
        <f t="shared" si="286"/>
        <v>45292</v>
      </c>
      <c r="AC795" s="5">
        <f t="shared" si="287"/>
        <v>45657</v>
      </c>
      <c r="AD795" s="1">
        <v>12</v>
      </c>
      <c r="AE795" s="1">
        <f t="shared" si="288"/>
        <v>366</v>
      </c>
      <c r="AF795" s="1">
        <f t="shared" si="289"/>
        <v>0</v>
      </c>
      <c r="AG795" s="1">
        <f t="shared" si="290"/>
        <v>0</v>
      </c>
      <c r="AH795" s="1">
        <f t="shared" si="291"/>
        <v>0</v>
      </c>
      <c r="AI795" s="1">
        <f t="shared" si="292"/>
        <v>0</v>
      </c>
      <c r="AJ795" s="3">
        <f t="shared" si="293"/>
        <v>1</v>
      </c>
      <c r="AK795" s="3">
        <f t="shared" si="294"/>
        <v>0.99863201094391241</v>
      </c>
      <c r="AL795" s="3">
        <f t="shared" si="295"/>
        <v>11.98358413132695</v>
      </c>
      <c r="AM795" s="3">
        <f t="shared" si="296"/>
        <v>29.958960328317374</v>
      </c>
      <c r="AN795" s="3">
        <f t="shared" si="297"/>
        <v>0</v>
      </c>
      <c r="AO795" s="3">
        <f t="shared" si="298"/>
        <v>29.958960328317374</v>
      </c>
      <c r="AP795" s="1" t="str">
        <f>INDEX({"EAD";"EAD";"EAD";"EAD MOOC";"EAD";"EAD";"EAD FP";"EAD";"PRESENCIAL";"PRESENCIAL";"PRESENCIAL";"PRESENCIAL"}, MATCH(CONCATENATE(E795, ".", F795),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796" spans="1:42" x14ac:dyDescent="0.25">
      <c r="A796" s="1" t="s">
        <v>27</v>
      </c>
      <c r="B796" s="1" t="s">
        <v>43</v>
      </c>
      <c r="C796" s="1" t="s">
        <v>29</v>
      </c>
      <c r="D796" s="1" t="s">
        <v>45</v>
      </c>
      <c r="E796" s="1" t="s">
        <v>120</v>
      </c>
      <c r="F796" s="1" t="s">
        <v>21</v>
      </c>
      <c r="G796" s="1" t="s">
        <v>140</v>
      </c>
      <c r="H796" s="1" t="s">
        <v>865</v>
      </c>
      <c r="I796" s="1" t="s">
        <v>224</v>
      </c>
      <c r="J796" s="1" t="s">
        <v>125</v>
      </c>
      <c r="K796" s="1" t="s">
        <v>109</v>
      </c>
      <c r="L796" s="1">
        <v>3024253</v>
      </c>
      <c r="M796" s="1" t="s">
        <v>972</v>
      </c>
      <c r="N796" s="5">
        <f>DATE(2023,8,8)</f>
        <v>45146</v>
      </c>
      <c r="O796" s="5">
        <f>DATE(2026,12,20)</f>
        <v>46376</v>
      </c>
      <c r="P796" s="5">
        <f t="shared" si="279"/>
        <v>47471</v>
      </c>
      <c r="Q796" s="1">
        <v>1680</v>
      </c>
      <c r="R796" s="1">
        <v>1600</v>
      </c>
      <c r="S796" s="1">
        <f t="shared" si="280"/>
        <v>1600</v>
      </c>
      <c r="T796" s="1">
        <v>1</v>
      </c>
      <c r="U796" s="1" t="str">
        <f t="shared" si="281"/>
        <v>SIM</v>
      </c>
      <c r="V796" s="1">
        <f t="shared" si="282"/>
        <v>1231</v>
      </c>
      <c r="W796" s="4">
        <f t="shared" si="283"/>
        <v>1.2997562956945572</v>
      </c>
      <c r="X796" s="4">
        <f t="shared" si="284"/>
        <v>474.41104792851337</v>
      </c>
      <c r="Y796" s="4">
        <f t="shared" si="285"/>
        <v>0.59301380991064168</v>
      </c>
      <c r="AB796" s="5">
        <f t="shared" si="286"/>
        <v>45292</v>
      </c>
      <c r="AC796" s="5">
        <f t="shared" si="287"/>
        <v>45657</v>
      </c>
      <c r="AD796" s="1">
        <v>23</v>
      </c>
      <c r="AE796" s="1">
        <f t="shared" si="288"/>
        <v>366</v>
      </c>
      <c r="AF796" s="1">
        <f t="shared" si="289"/>
        <v>0</v>
      </c>
      <c r="AG796" s="1">
        <f t="shared" si="290"/>
        <v>0</v>
      </c>
      <c r="AH796" s="1">
        <f t="shared" si="291"/>
        <v>0</v>
      </c>
      <c r="AI796" s="1">
        <f t="shared" si="292"/>
        <v>0</v>
      </c>
      <c r="AJ796" s="3">
        <f t="shared" si="293"/>
        <v>1</v>
      </c>
      <c r="AK796" s="3">
        <f t="shared" si="294"/>
        <v>0.59301380991064168</v>
      </c>
      <c r="AL796" s="3">
        <f t="shared" si="295"/>
        <v>13.639317627944759</v>
      </c>
      <c r="AM796" s="3">
        <f t="shared" si="296"/>
        <v>13.639317627944759</v>
      </c>
      <c r="AN796" s="3">
        <f t="shared" si="297"/>
        <v>0</v>
      </c>
      <c r="AO796" s="3">
        <f t="shared" si="298"/>
        <v>13.639317627944759</v>
      </c>
      <c r="AP796" s="1" t="str">
        <f>INDEX({"EAD";"EAD";"EAD";"EAD MOOC";"EAD";"EAD";"EAD FP";"EAD";"PRESENCIAL";"PRESENCIAL";"PRESENCIAL";"PRESENCIAL"}, MATCH(CONCATENATE(E796, ".", F796),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97" spans="1:42" x14ac:dyDescent="0.25">
      <c r="A797" s="1" t="s">
        <v>27</v>
      </c>
      <c r="B797" s="1" t="s">
        <v>43</v>
      </c>
      <c r="C797" s="1" t="s">
        <v>29</v>
      </c>
      <c r="D797" s="1" t="s">
        <v>45</v>
      </c>
      <c r="E797" s="1" t="s">
        <v>120</v>
      </c>
      <c r="F797" s="1" t="s">
        <v>21</v>
      </c>
      <c r="G797" s="1" t="s">
        <v>121</v>
      </c>
      <c r="H797" s="1" t="s">
        <v>869</v>
      </c>
      <c r="I797" s="1" t="s">
        <v>228</v>
      </c>
      <c r="J797" s="1" t="s">
        <v>125</v>
      </c>
      <c r="K797" s="1" t="s">
        <v>109</v>
      </c>
      <c r="L797" s="1">
        <v>3024451</v>
      </c>
      <c r="M797" s="1" t="s">
        <v>973</v>
      </c>
      <c r="N797" s="5">
        <f>DATE(2023,8,8)</f>
        <v>45146</v>
      </c>
      <c r="O797" s="5">
        <f>DATE(2028,7,31)</f>
        <v>46965</v>
      </c>
      <c r="P797" s="5">
        <f t="shared" si="279"/>
        <v>48060</v>
      </c>
      <c r="Q797" s="1">
        <v>3780</v>
      </c>
      <c r="R797" s="1">
        <v>3600</v>
      </c>
      <c r="S797" s="1">
        <f t="shared" si="280"/>
        <v>3600</v>
      </c>
      <c r="T797" s="1">
        <v>2.5</v>
      </c>
      <c r="U797" s="1" t="str">
        <f t="shared" si="281"/>
        <v>SIM</v>
      </c>
      <c r="V797" s="1">
        <f t="shared" si="282"/>
        <v>1820</v>
      </c>
      <c r="W797" s="4">
        <f t="shared" si="283"/>
        <v>1.9780219780219781</v>
      </c>
      <c r="X797" s="4">
        <f t="shared" si="284"/>
        <v>721.97802197802196</v>
      </c>
      <c r="Y797" s="4">
        <f t="shared" si="285"/>
        <v>0.90247252747252749</v>
      </c>
      <c r="AB797" s="5">
        <f t="shared" si="286"/>
        <v>45292</v>
      </c>
      <c r="AC797" s="5">
        <f t="shared" si="287"/>
        <v>45657</v>
      </c>
      <c r="AD797" s="1">
        <v>25</v>
      </c>
      <c r="AE797" s="1">
        <f t="shared" si="288"/>
        <v>366</v>
      </c>
      <c r="AF797" s="1">
        <f t="shared" si="289"/>
        <v>0</v>
      </c>
      <c r="AG797" s="1">
        <f t="shared" si="290"/>
        <v>0</v>
      </c>
      <c r="AH797" s="1">
        <f t="shared" si="291"/>
        <v>0</v>
      </c>
      <c r="AI797" s="1">
        <f t="shared" si="292"/>
        <v>0</v>
      </c>
      <c r="AJ797" s="3">
        <f t="shared" si="293"/>
        <v>1</v>
      </c>
      <c r="AK797" s="3">
        <f t="shared" si="294"/>
        <v>0.90247252747252749</v>
      </c>
      <c r="AL797" s="3">
        <f t="shared" si="295"/>
        <v>22.561813186813186</v>
      </c>
      <c r="AM797" s="3">
        <f t="shared" si="296"/>
        <v>56.404532967032964</v>
      </c>
      <c r="AN797" s="3">
        <f t="shared" si="297"/>
        <v>0</v>
      </c>
      <c r="AO797" s="3">
        <f t="shared" si="298"/>
        <v>56.404532967032964</v>
      </c>
      <c r="AP797" s="1" t="str">
        <f>INDEX({"EAD";"EAD";"EAD";"EAD MOOC";"EAD";"EAD";"EAD FP";"EAD";"PRESENCIAL";"PRESENCIAL";"PRESENCIAL";"PRESENCIAL"}, MATCH(CONCATENATE(E797, ".", F797),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98" spans="1:42" x14ac:dyDescent="0.25">
      <c r="A798" s="1" t="s">
        <v>27</v>
      </c>
      <c r="B798" s="1" t="s">
        <v>43</v>
      </c>
      <c r="C798" s="1" t="s">
        <v>29</v>
      </c>
      <c r="D798" s="1" t="s">
        <v>45</v>
      </c>
      <c r="E798" s="1" t="s">
        <v>120</v>
      </c>
      <c r="F798" s="1" t="s">
        <v>21</v>
      </c>
      <c r="G798" s="1" t="s">
        <v>121</v>
      </c>
      <c r="H798" s="1" t="s">
        <v>279</v>
      </c>
      <c r="I798" s="1" t="s">
        <v>191</v>
      </c>
      <c r="J798" s="1" t="s">
        <v>125</v>
      </c>
      <c r="K798" s="1" t="s">
        <v>109</v>
      </c>
      <c r="L798" s="1">
        <v>3024490</v>
      </c>
      <c r="M798" s="1" t="s">
        <v>974</v>
      </c>
      <c r="N798" s="5">
        <f>DATE(2023,8,8)</f>
        <v>45146</v>
      </c>
      <c r="O798" s="5">
        <f>DATE(2026,12,20)</f>
        <v>46376</v>
      </c>
      <c r="P798" s="5">
        <f t="shared" si="279"/>
        <v>47471</v>
      </c>
      <c r="Q798" s="1">
        <v>2782</v>
      </c>
      <c r="R798" s="1">
        <v>2400</v>
      </c>
      <c r="S798" s="1">
        <f t="shared" si="280"/>
        <v>2400</v>
      </c>
      <c r="T798" s="1">
        <v>2.5</v>
      </c>
      <c r="U798" s="1" t="str">
        <f t="shared" si="281"/>
        <v>SIM</v>
      </c>
      <c r="V798" s="1">
        <f t="shared" si="282"/>
        <v>1231</v>
      </c>
      <c r="W798" s="4">
        <f t="shared" si="283"/>
        <v>1.949634443541836</v>
      </c>
      <c r="X798" s="4">
        <f t="shared" si="284"/>
        <v>711.61657189277014</v>
      </c>
      <c r="Y798" s="4">
        <f t="shared" si="285"/>
        <v>0.88952071486596263</v>
      </c>
      <c r="AB798" s="5">
        <f t="shared" si="286"/>
        <v>45292</v>
      </c>
      <c r="AC798" s="5">
        <f t="shared" si="287"/>
        <v>45657</v>
      </c>
      <c r="AD798" s="1">
        <v>25</v>
      </c>
      <c r="AE798" s="1">
        <f t="shared" si="288"/>
        <v>366</v>
      </c>
      <c r="AF798" s="1">
        <f t="shared" si="289"/>
        <v>0</v>
      </c>
      <c r="AG798" s="1">
        <f t="shared" si="290"/>
        <v>0</v>
      </c>
      <c r="AH798" s="1">
        <f t="shared" si="291"/>
        <v>0</v>
      </c>
      <c r="AI798" s="1">
        <f t="shared" si="292"/>
        <v>0</v>
      </c>
      <c r="AJ798" s="3">
        <f t="shared" si="293"/>
        <v>1</v>
      </c>
      <c r="AK798" s="3">
        <f t="shared" si="294"/>
        <v>0.88952071486596263</v>
      </c>
      <c r="AL798" s="3">
        <f t="shared" si="295"/>
        <v>22.238017871649067</v>
      </c>
      <c r="AM798" s="3">
        <f t="shared" si="296"/>
        <v>55.595044679122665</v>
      </c>
      <c r="AN798" s="3">
        <f t="shared" si="297"/>
        <v>0</v>
      </c>
      <c r="AO798" s="3">
        <f t="shared" si="298"/>
        <v>55.595044679122665</v>
      </c>
      <c r="AP798" s="1" t="str">
        <f>INDEX({"EAD";"EAD";"EAD";"EAD MOOC";"EAD";"EAD";"EAD FP";"EAD";"PRESENCIAL";"PRESENCIAL";"PRESENCIAL";"PRESENCIAL"}, MATCH(CONCATENATE(E798, ".", F798),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799" spans="1:42" x14ac:dyDescent="0.25">
      <c r="A799" s="1" t="s">
        <v>27</v>
      </c>
      <c r="B799" s="1" t="s">
        <v>43</v>
      </c>
      <c r="C799" s="1" t="s">
        <v>29</v>
      </c>
      <c r="D799" s="1" t="s">
        <v>45</v>
      </c>
      <c r="E799" s="1" t="s">
        <v>120</v>
      </c>
      <c r="F799" s="1" t="s">
        <v>21</v>
      </c>
      <c r="G799" s="1" t="s">
        <v>128</v>
      </c>
      <c r="H799" s="1" t="s">
        <v>890</v>
      </c>
      <c r="I799" s="1" t="s">
        <v>191</v>
      </c>
      <c r="J799" s="1" t="s">
        <v>125</v>
      </c>
      <c r="K799" s="1" t="s">
        <v>130</v>
      </c>
      <c r="L799" s="1">
        <v>3024515</v>
      </c>
      <c r="M799" s="1" t="s">
        <v>975</v>
      </c>
      <c r="N799" s="5">
        <f>DATE(2023,8,8)</f>
        <v>45146</v>
      </c>
      <c r="O799" s="5">
        <f>DATE(2026,7,31)</f>
        <v>46234</v>
      </c>
      <c r="P799" s="5">
        <f t="shared" si="279"/>
        <v>47329</v>
      </c>
      <c r="Q799" s="1">
        <v>3689</v>
      </c>
      <c r="R799" s="1">
        <v>1200</v>
      </c>
      <c r="S799" s="1">
        <f t="shared" si="280"/>
        <v>3200</v>
      </c>
      <c r="T799" s="1">
        <v>2.5</v>
      </c>
      <c r="U799" s="1" t="str">
        <f t="shared" si="281"/>
        <v>SIM</v>
      </c>
      <c r="V799" s="1">
        <f t="shared" si="282"/>
        <v>1089</v>
      </c>
      <c r="W799" s="4">
        <f t="shared" si="283"/>
        <v>2.9384756657483928</v>
      </c>
      <c r="X799" s="4">
        <f t="shared" si="284"/>
        <v>1072.5436179981634</v>
      </c>
      <c r="Y799" s="4">
        <f t="shared" si="285"/>
        <v>1.3406795224977044</v>
      </c>
      <c r="AB799" s="5">
        <f t="shared" si="286"/>
        <v>45292</v>
      </c>
      <c r="AC799" s="5">
        <f t="shared" si="287"/>
        <v>45657</v>
      </c>
      <c r="AD799" s="1">
        <v>35</v>
      </c>
      <c r="AE799" s="1">
        <f t="shared" si="288"/>
        <v>366</v>
      </c>
      <c r="AF799" s="1">
        <f t="shared" si="289"/>
        <v>0</v>
      </c>
      <c r="AG799" s="1">
        <f t="shared" si="290"/>
        <v>0</v>
      </c>
      <c r="AH799" s="1">
        <f t="shared" si="291"/>
        <v>0</v>
      </c>
      <c r="AI799" s="1">
        <f t="shared" si="292"/>
        <v>0</v>
      </c>
      <c r="AJ799" s="3">
        <f t="shared" si="293"/>
        <v>1</v>
      </c>
      <c r="AK799" s="3">
        <f t="shared" si="294"/>
        <v>1.3406795224977044</v>
      </c>
      <c r="AL799" s="3">
        <f t="shared" si="295"/>
        <v>46.923783287419653</v>
      </c>
      <c r="AM799" s="3">
        <f t="shared" si="296"/>
        <v>117.30945821854914</v>
      </c>
      <c r="AN799" s="3">
        <f t="shared" si="297"/>
        <v>0</v>
      </c>
      <c r="AO799" s="3">
        <f t="shared" si="298"/>
        <v>117.30945821854914</v>
      </c>
      <c r="AP799" s="1" t="str">
        <f>INDEX({"EAD";"EAD";"EAD";"EAD MOOC";"EAD";"EAD";"EAD FP";"EAD";"PRESENCIAL";"PRESENCIAL";"PRESENCIAL";"PRESENCIAL"}, MATCH(CONCATENATE(E799, ".", F799),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00" spans="1:42" x14ac:dyDescent="0.25">
      <c r="A800" s="1" t="s">
        <v>27</v>
      </c>
      <c r="B800" s="1" t="s">
        <v>43</v>
      </c>
      <c r="C800" s="1" t="s">
        <v>29</v>
      </c>
      <c r="D800" s="1" t="s">
        <v>45</v>
      </c>
      <c r="E800" s="1" t="s">
        <v>120</v>
      </c>
      <c r="F800" s="1" t="s">
        <v>21</v>
      </c>
      <c r="G800" s="1" t="s">
        <v>128</v>
      </c>
      <c r="H800" s="1" t="s">
        <v>907</v>
      </c>
      <c r="I800" s="1" t="s">
        <v>224</v>
      </c>
      <c r="J800" s="1" t="s">
        <v>125</v>
      </c>
      <c r="K800" s="1" t="s">
        <v>130</v>
      </c>
      <c r="L800" s="1">
        <v>3024530</v>
      </c>
      <c r="M800" s="1" t="s">
        <v>976</v>
      </c>
      <c r="N800" s="5">
        <f>DATE(2023,8,8)</f>
        <v>45146</v>
      </c>
      <c r="O800" s="5">
        <f>DATE(2026,7,31)</f>
        <v>46234</v>
      </c>
      <c r="P800" s="5">
        <f t="shared" si="279"/>
        <v>47329</v>
      </c>
      <c r="Q800" s="1">
        <v>3689</v>
      </c>
      <c r="R800" s="1">
        <v>1200</v>
      </c>
      <c r="S800" s="1">
        <f t="shared" si="280"/>
        <v>3200</v>
      </c>
      <c r="T800" s="1">
        <v>1.5</v>
      </c>
      <c r="U800" s="1" t="str">
        <f t="shared" si="281"/>
        <v>SIM</v>
      </c>
      <c r="V800" s="1">
        <f t="shared" si="282"/>
        <v>1089</v>
      </c>
      <c r="W800" s="4">
        <f t="shared" si="283"/>
        <v>2.9384756657483928</v>
      </c>
      <c r="X800" s="4">
        <f t="shared" si="284"/>
        <v>1072.5436179981634</v>
      </c>
      <c r="Y800" s="4">
        <f t="shared" si="285"/>
        <v>1.3406795224977044</v>
      </c>
      <c r="AB800" s="5">
        <f t="shared" si="286"/>
        <v>45292</v>
      </c>
      <c r="AC800" s="5">
        <f t="shared" si="287"/>
        <v>45657</v>
      </c>
      <c r="AD800" s="1">
        <v>34</v>
      </c>
      <c r="AE800" s="1">
        <f t="shared" si="288"/>
        <v>366</v>
      </c>
      <c r="AF800" s="1">
        <f t="shared" si="289"/>
        <v>0</v>
      </c>
      <c r="AG800" s="1">
        <f t="shared" si="290"/>
        <v>0</v>
      </c>
      <c r="AH800" s="1">
        <f t="shared" si="291"/>
        <v>0</v>
      </c>
      <c r="AI800" s="1">
        <f t="shared" si="292"/>
        <v>0</v>
      </c>
      <c r="AJ800" s="3">
        <f t="shared" si="293"/>
        <v>1</v>
      </c>
      <c r="AK800" s="3">
        <f t="shared" si="294"/>
        <v>1.3406795224977044</v>
      </c>
      <c r="AL800" s="3">
        <f t="shared" si="295"/>
        <v>45.583103764921951</v>
      </c>
      <c r="AM800" s="3">
        <f t="shared" si="296"/>
        <v>68.374655647382923</v>
      </c>
      <c r="AN800" s="3">
        <f t="shared" si="297"/>
        <v>0</v>
      </c>
      <c r="AO800" s="3">
        <f t="shared" si="298"/>
        <v>68.374655647382923</v>
      </c>
      <c r="AP800" s="1" t="str">
        <f>INDEX({"EAD";"EAD";"EAD";"EAD MOOC";"EAD";"EAD";"EAD FP";"EAD";"PRESENCIAL";"PRESENCIAL";"PRESENCIAL";"PRESENCIAL"}, MATCH(CONCATENATE(E800, ".", F800),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01" spans="1:42" x14ac:dyDescent="0.25">
      <c r="A801" s="1" t="s">
        <v>27</v>
      </c>
      <c r="B801" s="1" t="s">
        <v>43</v>
      </c>
      <c r="C801" s="1" t="s">
        <v>29</v>
      </c>
      <c r="D801" s="1" t="s">
        <v>45</v>
      </c>
      <c r="E801" s="1" t="s">
        <v>120</v>
      </c>
      <c r="F801" s="1" t="s">
        <v>21</v>
      </c>
      <c r="G801" s="1" t="s">
        <v>128</v>
      </c>
      <c r="H801" s="1" t="s">
        <v>890</v>
      </c>
      <c r="I801" s="1" t="s">
        <v>191</v>
      </c>
      <c r="J801" s="1" t="s">
        <v>125</v>
      </c>
      <c r="K801" s="1" t="s">
        <v>130</v>
      </c>
      <c r="L801" s="1">
        <v>3089461</v>
      </c>
      <c r="M801" s="1" t="s">
        <v>977</v>
      </c>
      <c r="N801" s="5">
        <f>DATE(2024,2,5)</f>
        <v>45327</v>
      </c>
      <c r="O801" s="5">
        <f>DATE(2026,12,30)</f>
        <v>46386</v>
      </c>
      <c r="P801" s="5">
        <f t="shared" si="279"/>
        <v>47481</v>
      </c>
      <c r="Q801" s="1">
        <v>3689</v>
      </c>
      <c r="R801" s="1">
        <v>1200</v>
      </c>
      <c r="S801" s="1">
        <f t="shared" si="280"/>
        <v>3200</v>
      </c>
      <c r="T801" s="1">
        <v>2.5</v>
      </c>
      <c r="U801" s="1" t="str">
        <f t="shared" si="281"/>
        <v>SIM</v>
      </c>
      <c r="V801" s="1">
        <f t="shared" si="282"/>
        <v>1060</v>
      </c>
      <c r="W801" s="4">
        <f t="shared" si="283"/>
        <v>3.0188679245283021</v>
      </c>
      <c r="X801" s="4">
        <f t="shared" si="284"/>
        <v>1101.8867924528304</v>
      </c>
      <c r="Y801" s="4">
        <f t="shared" si="285"/>
        <v>1.3773584905660379</v>
      </c>
      <c r="AB801" s="5">
        <f t="shared" si="286"/>
        <v>45292</v>
      </c>
      <c r="AC801" s="5">
        <f t="shared" si="287"/>
        <v>45657</v>
      </c>
      <c r="AD801" s="1">
        <v>35</v>
      </c>
      <c r="AE801" s="1">
        <f t="shared" si="288"/>
        <v>0</v>
      </c>
      <c r="AF801" s="1">
        <f t="shared" si="289"/>
        <v>331</v>
      </c>
      <c r="AG801" s="1">
        <f t="shared" si="290"/>
        <v>0</v>
      </c>
      <c r="AH801" s="1">
        <f t="shared" si="291"/>
        <v>0</v>
      </c>
      <c r="AI801" s="1">
        <f t="shared" si="292"/>
        <v>0</v>
      </c>
      <c r="AJ801" s="3">
        <f t="shared" si="293"/>
        <v>0.90437158469945356</v>
      </c>
      <c r="AK801" s="3">
        <f t="shared" si="294"/>
        <v>1.245643880812455</v>
      </c>
      <c r="AL801" s="3">
        <f t="shared" si="295"/>
        <v>43.597535828435923</v>
      </c>
      <c r="AM801" s="3">
        <f t="shared" si="296"/>
        <v>108.99383957108981</v>
      </c>
      <c r="AN801" s="3">
        <f t="shared" si="297"/>
        <v>0</v>
      </c>
      <c r="AO801" s="3">
        <f t="shared" si="298"/>
        <v>108.99383957108981</v>
      </c>
      <c r="AP801" s="1" t="str">
        <f>INDEX({"EAD";"EAD";"EAD";"EAD MOOC";"EAD";"EAD";"EAD FP";"EAD";"PRESENCIAL";"PRESENCIAL";"PRESENCIAL";"PRESENCIAL"}, MATCH(CONCATENATE(E801, ".", F801),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02" spans="1:42" x14ac:dyDescent="0.25">
      <c r="A802" s="1" t="s">
        <v>27</v>
      </c>
      <c r="B802" s="1" t="s">
        <v>43</v>
      </c>
      <c r="C802" s="1" t="s">
        <v>29</v>
      </c>
      <c r="D802" s="1" t="s">
        <v>45</v>
      </c>
      <c r="E802" s="1" t="s">
        <v>120</v>
      </c>
      <c r="F802" s="1" t="s">
        <v>21</v>
      </c>
      <c r="G802" s="1" t="s">
        <v>128</v>
      </c>
      <c r="H802" s="1" t="s">
        <v>907</v>
      </c>
      <c r="I802" s="1" t="s">
        <v>224</v>
      </c>
      <c r="J802" s="1" t="s">
        <v>125</v>
      </c>
      <c r="K802" s="1" t="s">
        <v>130</v>
      </c>
      <c r="L802" s="1">
        <v>3089462</v>
      </c>
      <c r="M802" s="1" t="s">
        <v>978</v>
      </c>
      <c r="N802" s="5">
        <f>DATE(2024,2,5)</f>
        <v>45327</v>
      </c>
      <c r="O802" s="5">
        <f>DATE(2026,12,30)</f>
        <v>46386</v>
      </c>
      <c r="P802" s="5">
        <f t="shared" si="279"/>
        <v>47481</v>
      </c>
      <c r="Q802" s="1">
        <v>3689</v>
      </c>
      <c r="R802" s="1">
        <v>1200</v>
      </c>
      <c r="S802" s="1">
        <f t="shared" si="280"/>
        <v>3200</v>
      </c>
      <c r="T802" s="1">
        <v>1.5</v>
      </c>
      <c r="U802" s="1" t="str">
        <f t="shared" si="281"/>
        <v>SIM</v>
      </c>
      <c r="V802" s="1">
        <f t="shared" si="282"/>
        <v>1060</v>
      </c>
      <c r="W802" s="4">
        <f t="shared" si="283"/>
        <v>3.0188679245283021</v>
      </c>
      <c r="X802" s="4">
        <f t="shared" si="284"/>
        <v>1101.8867924528304</v>
      </c>
      <c r="Y802" s="4">
        <f t="shared" si="285"/>
        <v>1.3773584905660379</v>
      </c>
      <c r="AB802" s="5">
        <f t="shared" si="286"/>
        <v>45292</v>
      </c>
      <c r="AC802" s="5">
        <f t="shared" si="287"/>
        <v>45657</v>
      </c>
      <c r="AD802" s="1">
        <v>35</v>
      </c>
      <c r="AE802" s="1">
        <f t="shared" si="288"/>
        <v>0</v>
      </c>
      <c r="AF802" s="1">
        <f t="shared" si="289"/>
        <v>331</v>
      </c>
      <c r="AG802" s="1">
        <f t="shared" si="290"/>
        <v>0</v>
      </c>
      <c r="AH802" s="1">
        <f t="shared" si="291"/>
        <v>0</v>
      </c>
      <c r="AI802" s="1">
        <f t="shared" si="292"/>
        <v>0</v>
      </c>
      <c r="AJ802" s="3">
        <f t="shared" si="293"/>
        <v>0.90437158469945356</v>
      </c>
      <c r="AK802" s="3">
        <f t="shared" si="294"/>
        <v>1.245643880812455</v>
      </c>
      <c r="AL802" s="3">
        <f t="shared" si="295"/>
        <v>43.597535828435923</v>
      </c>
      <c r="AM802" s="3">
        <f t="shared" si="296"/>
        <v>65.396303742653885</v>
      </c>
      <c r="AN802" s="3">
        <f t="shared" si="297"/>
        <v>0</v>
      </c>
      <c r="AO802" s="3">
        <f t="shared" si="298"/>
        <v>65.396303742653885</v>
      </c>
      <c r="AP802" s="1" t="str">
        <f>INDEX({"EAD";"EAD";"EAD";"EAD MOOC";"EAD";"EAD";"EAD FP";"EAD";"PRESENCIAL";"PRESENCIAL";"PRESENCIAL";"PRESENCIAL"}, MATCH(CONCATENATE(E802, ".", F802),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03" spans="1:42" x14ac:dyDescent="0.25">
      <c r="A803" s="1" t="s">
        <v>27</v>
      </c>
      <c r="B803" s="1" t="s">
        <v>43</v>
      </c>
      <c r="C803" s="1" t="s">
        <v>29</v>
      </c>
      <c r="D803" s="1" t="s">
        <v>45</v>
      </c>
      <c r="E803" s="1" t="s">
        <v>120</v>
      </c>
      <c r="F803" s="1" t="s">
        <v>21</v>
      </c>
      <c r="G803" s="1" t="s">
        <v>121</v>
      </c>
      <c r="H803" s="1" t="s">
        <v>869</v>
      </c>
      <c r="I803" s="1" t="s">
        <v>228</v>
      </c>
      <c r="J803" s="1" t="s">
        <v>125</v>
      </c>
      <c r="K803" s="1" t="s">
        <v>109</v>
      </c>
      <c r="L803" s="1">
        <v>3089464</v>
      </c>
      <c r="M803" s="1" t="s">
        <v>979</v>
      </c>
      <c r="N803" s="5">
        <f>DATE(2024,2,5)</f>
        <v>45327</v>
      </c>
      <c r="O803" s="5">
        <f>DATE(2028,12,30)</f>
        <v>47117</v>
      </c>
      <c r="P803" s="5">
        <f t="shared" si="279"/>
        <v>48212</v>
      </c>
      <c r="Q803" s="1">
        <v>3780</v>
      </c>
      <c r="R803" s="1">
        <v>3600</v>
      </c>
      <c r="S803" s="1">
        <f t="shared" si="280"/>
        <v>3600</v>
      </c>
      <c r="T803" s="1">
        <v>2.5</v>
      </c>
      <c r="U803" s="1" t="str">
        <f t="shared" si="281"/>
        <v>SIM</v>
      </c>
      <c r="V803" s="1">
        <f t="shared" si="282"/>
        <v>1791</v>
      </c>
      <c r="W803" s="4">
        <f t="shared" si="283"/>
        <v>2.0100502512562812</v>
      </c>
      <c r="X803" s="4">
        <f t="shared" si="284"/>
        <v>733.6683417085427</v>
      </c>
      <c r="Y803" s="4">
        <f t="shared" si="285"/>
        <v>0.91708542713567842</v>
      </c>
      <c r="AB803" s="5">
        <f t="shared" si="286"/>
        <v>45292</v>
      </c>
      <c r="AC803" s="5">
        <f t="shared" si="287"/>
        <v>45657</v>
      </c>
      <c r="AD803" s="1">
        <v>20</v>
      </c>
      <c r="AE803" s="1">
        <f t="shared" si="288"/>
        <v>0</v>
      </c>
      <c r="AF803" s="1">
        <f t="shared" si="289"/>
        <v>331</v>
      </c>
      <c r="AG803" s="1">
        <f t="shared" si="290"/>
        <v>0</v>
      </c>
      <c r="AH803" s="1">
        <f t="shared" si="291"/>
        <v>0</v>
      </c>
      <c r="AI803" s="1">
        <f t="shared" si="292"/>
        <v>0</v>
      </c>
      <c r="AJ803" s="3">
        <f t="shared" si="293"/>
        <v>0.90437158469945356</v>
      </c>
      <c r="AK803" s="3">
        <f t="shared" si="294"/>
        <v>0.82938600104346871</v>
      </c>
      <c r="AL803" s="3">
        <f t="shared" si="295"/>
        <v>16.587720020869373</v>
      </c>
      <c r="AM803" s="3">
        <f t="shared" si="296"/>
        <v>41.469300052173431</v>
      </c>
      <c r="AN803" s="3">
        <f t="shared" si="297"/>
        <v>0</v>
      </c>
      <c r="AO803" s="3">
        <f t="shared" si="298"/>
        <v>41.469300052173431</v>
      </c>
      <c r="AP803" s="1" t="str">
        <f>INDEX({"EAD";"EAD";"EAD";"EAD MOOC";"EAD";"EAD";"EAD FP";"EAD";"PRESENCIAL";"PRESENCIAL";"PRESENCIAL";"PRESENCIAL"}, MATCH(CONCATENATE(E803, ".", F803),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04" spans="1:42" x14ac:dyDescent="0.25">
      <c r="A804" s="1" t="s">
        <v>27</v>
      </c>
      <c r="B804" s="1" t="s">
        <v>43</v>
      </c>
      <c r="C804" s="1" t="s">
        <v>29</v>
      </c>
      <c r="D804" s="1" t="s">
        <v>45</v>
      </c>
      <c r="E804" s="1" t="s">
        <v>120</v>
      </c>
      <c r="F804" s="1" t="s">
        <v>21</v>
      </c>
      <c r="G804" s="1" t="s">
        <v>121</v>
      </c>
      <c r="H804" s="1" t="s">
        <v>279</v>
      </c>
      <c r="I804" s="1" t="s">
        <v>191</v>
      </c>
      <c r="J804" s="1" t="s">
        <v>125</v>
      </c>
      <c r="K804" s="1" t="s">
        <v>109</v>
      </c>
      <c r="L804" s="1">
        <v>3089465</v>
      </c>
      <c r="M804" s="1" t="s">
        <v>980</v>
      </c>
      <c r="N804" s="5">
        <f>DATE(2024,2,5)</f>
        <v>45327</v>
      </c>
      <c r="O804" s="5">
        <f>DATE(2027,6,30)</f>
        <v>46568</v>
      </c>
      <c r="P804" s="5">
        <f t="shared" si="279"/>
        <v>47663</v>
      </c>
      <c r="Q804" s="1">
        <v>2782</v>
      </c>
      <c r="R804" s="1">
        <v>2400</v>
      </c>
      <c r="S804" s="1">
        <f t="shared" si="280"/>
        <v>2400</v>
      </c>
      <c r="T804" s="1">
        <v>2.5</v>
      </c>
      <c r="U804" s="1" t="str">
        <f t="shared" si="281"/>
        <v>SIM</v>
      </c>
      <c r="V804" s="1">
        <f t="shared" si="282"/>
        <v>1242</v>
      </c>
      <c r="W804" s="4">
        <f t="shared" si="283"/>
        <v>1.932367149758454</v>
      </c>
      <c r="X804" s="4">
        <f t="shared" si="284"/>
        <v>705.31400966183571</v>
      </c>
      <c r="Y804" s="4">
        <f t="shared" si="285"/>
        <v>0.8816425120772946</v>
      </c>
      <c r="AB804" s="5">
        <f t="shared" si="286"/>
        <v>45292</v>
      </c>
      <c r="AC804" s="5">
        <f t="shared" si="287"/>
        <v>45657</v>
      </c>
      <c r="AD804" s="1">
        <v>34</v>
      </c>
      <c r="AE804" s="1">
        <f t="shared" si="288"/>
        <v>0</v>
      </c>
      <c r="AF804" s="1">
        <f t="shared" si="289"/>
        <v>331</v>
      </c>
      <c r="AG804" s="1">
        <f t="shared" si="290"/>
        <v>0</v>
      </c>
      <c r="AH804" s="1">
        <f t="shared" si="291"/>
        <v>0</v>
      </c>
      <c r="AI804" s="1">
        <f t="shared" si="292"/>
        <v>0</v>
      </c>
      <c r="AJ804" s="3">
        <f t="shared" si="293"/>
        <v>0.90437158469945356</v>
      </c>
      <c r="AK804" s="3">
        <f t="shared" si="294"/>
        <v>0.79733243578575008</v>
      </c>
      <c r="AL804" s="3">
        <f t="shared" si="295"/>
        <v>27.109302816715502</v>
      </c>
      <c r="AM804" s="3">
        <f t="shared" si="296"/>
        <v>67.773257041788753</v>
      </c>
      <c r="AN804" s="3">
        <f t="shared" si="297"/>
        <v>0</v>
      </c>
      <c r="AO804" s="3">
        <f t="shared" si="298"/>
        <v>67.773257041788753</v>
      </c>
      <c r="AP804" s="1" t="str">
        <f>INDEX({"EAD";"EAD";"EAD";"EAD MOOC";"EAD";"EAD";"EAD FP";"EAD";"PRESENCIAL";"PRESENCIAL";"PRESENCIAL";"PRESENCIAL"}, MATCH(CONCATENATE(E804, ".", F804),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05" spans="1:42" x14ac:dyDescent="0.25">
      <c r="A805" s="1" t="s">
        <v>27</v>
      </c>
      <c r="B805" s="1" t="s">
        <v>43</v>
      </c>
      <c r="C805" s="1" t="s">
        <v>29</v>
      </c>
      <c r="D805" s="1" t="s">
        <v>45</v>
      </c>
      <c r="E805" s="1" t="s">
        <v>120</v>
      </c>
      <c r="F805" s="1" t="s">
        <v>21</v>
      </c>
      <c r="G805" s="1" t="s">
        <v>140</v>
      </c>
      <c r="H805" s="1" t="s">
        <v>865</v>
      </c>
      <c r="I805" s="1" t="s">
        <v>224</v>
      </c>
      <c r="J805" s="1" t="s">
        <v>125</v>
      </c>
      <c r="K805" s="1" t="s">
        <v>109</v>
      </c>
      <c r="L805" s="1">
        <v>3089466</v>
      </c>
      <c r="M805" s="1" t="s">
        <v>981</v>
      </c>
      <c r="N805" s="5">
        <f>DATE(2024,2,5)</f>
        <v>45327</v>
      </c>
      <c r="O805" s="5">
        <f>DATE(2027,6,30)</f>
        <v>46568</v>
      </c>
      <c r="P805" s="5">
        <f t="shared" si="279"/>
        <v>47663</v>
      </c>
      <c r="Q805" s="1">
        <v>1680</v>
      </c>
      <c r="R805" s="1">
        <v>1600</v>
      </c>
      <c r="S805" s="1">
        <f t="shared" si="280"/>
        <v>1600</v>
      </c>
      <c r="T805" s="1">
        <v>1</v>
      </c>
      <c r="U805" s="1" t="str">
        <f t="shared" si="281"/>
        <v>SIM</v>
      </c>
      <c r="V805" s="1">
        <f t="shared" si="282"/>
        <v>1242</v>
      </c>
      <c r="W805" s="4">
        <f t="shared" si="283"/>
        <v>1.288244766505636</v>
      </c>
      <c r="X805" s="4">
        <f t="shared" si="284"/>
        <v>470.20933977455712</v>
      </c>
      <c r="Y805" s="4">
        <f t="shared" si="285"/>
        <v>0.5877616747181964</v>
      </c>
      <c r="AB805" s="5">
        <f t="shared" si="286"/>
        <v>45292</v>
      </c>
      <c r="AC805" s="5">
        <f t="shared" si="287"/>
        <v>45657</v>
      </c>
      <c r="AD805" s="1">
        <v>28</v>
      </c>
      <c r="AE805" s="1">
        <f t="shared" si="288"/>
        <v>0</v>
      </c>
      <c r="AF805" s="1">
        <f t="shared" si="289"/>
        <v>331</v>
      </c>
      <c r="AG805" s="1">
        <f t="shared" si="290"/>
        <v>0</v>
      </c>
      <c r="AH805" s="1">
        <f t="shared" si="291"/>
        <v>0</v>
      </c>
      <c r="AI805" s="1">
        <f t="shared" si="292"/>
        <v>0</v>
      </c>
      <c r="AJ805" s="3">
        <f t="shared" si="293"/>
        <v>0.90437158469945356</v>
      </c>
      <c r="AK805" s="3">
        <f t="shared" si="294"/>
        <v>0.53155495719050005</v>
      </c>
      <c r="AL805" s="3">
        <f t="shared" si="295"/>
        <v>14.883538801334002</v>
      </c>
      <c r="AM805" s="3">
        <f t="shared" si="296"/>
        <v>14.883538801334002</v>
      </c>
      <c r="AN805" s="3">
        <f t="shared" si="297"/>
        <v>0</v>
      </c>
      <c r="AO805" s="3">
        <f t="shared" si="298"/>
        <v>14.883538801334002</v>
      </c>
      <c r="AP805" s="1" t="str">
        <f>INDEX({"EAD";"EAD";"EAD";"EAD MOOC";"EAD";"EAD";"EAD FP";"EAD";"PRESENCIAL";"PRESENCIAL";"PRESENCIAL";"PRESENCIAL"}, MATCH(CONCATENATE(E805, ".", F805),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06" spans="1:42" x14ac:dyDescent="0.25">
      <c r="A806" s="1" t="s">
        <v>27</v>
      </c>
      <c r="B806" s="1" t="s">
        <v>43</v>
      </c>
      <c r="C806" s="1" t="s">
        <v>29</v>
      </c>
      <c r="D806" s="1" t="s">
        <v>45</v>
      </c>
      <c r="E806" s="1" t="s">
        <v>120</v>
      </c>
      <c r="F806" s="1" t="s">
        <v>21</v>
      </c>
      <c r="G806" s="1" t="s">
        <v>727</v>
      </c>
      <c r="H806" s="1" t="s">
        <v>919</v>
      </c>
      <c r="I806" s="1" t="s">
        <v>224</v>
      </c>
      <c r="J806" s="1" t="s">
        <v>125</v>
      </c>
      <c r="K806" s="1" t="s">
        <v>109</v>
      </c>
      <c r="L806" s="1">
        <v>3099328</v>
      </c>
      <c r="M806" s="1" t="s">
        <v>982</v>
      </c>
      <c r="N806" s="5">
        <f>DATE(2024,3,20)</f>
        <v>45371</v>
      </c>
      <c r="O806" s="5">
        <f>DATE(2026,3,20)</f>
        <v>46101</v>
      </c>
      <c r="P806" s="5">
        <f t="shared" si="279"/>
        <v>47196</v>
      </c>
      <c r="Q806" s="1">
        <v>360</v>
      </c>
      <c r="R806" s="1">
        <v>360</v>
      </c>
      <c r="S806" s="1">
        <f t="shared" si="280"/>
        <v>360</v>
      </c>
      <c r="T806" s="1">
        <v>3.75</v>
      </c>
      <c r="U806" s="1" t="str">
        <f t="shared" si="281"/>
        <v>SIM</v>
      </c>
      <c r="V806" s="1">
        <f t="shared" si="282"/>
        <v>731</v>
      </c>
      <c r="W806" s="4">
        <f t="shared" si="283"/>
        <v>0.49247606019151846</v>
      </c>
      <c r="X806" s="4">
        <f t="shared" si="284"/>
        <v>179.75376196990425</v>
      </c>
      <c r="Y806" s="4">
        <f t="shared" si="285"/>
        <v>0.22469220246238031</v>
      </c>
      <c r="AB806" s="5">
        <f t="shared" si="286"/>
        <v>45292</v>
      </c>
      <c r="AC806" s="5">
        <f t="shared" si="287"/>
        <v>45657</v>
      </c>
      <c r="AD806" s="1">
        <v>10</v>
      </c>
      <c r="AE806" s="1">
        <f t="shared" si="288"/>
        <v>0</v>
      </c>
      <c r="AF806" s="1">
        <f t="shared" si="289"/>
        <v>287</v>
      </c>
      <c r="AG806" s="1">
        <f t="shared" si="290"/>
        <v>0</v>
      </c>
      <c r="AH806" s="1">
        <f t="shared" si="291"/>
        <v>0</v>
      </c>
      <c r="AI806" s="1">
        <f t="shared" si="292"/>
        <v>0</v>
      </c>
      <c r="AJ806" s="3">
        <f t="shared" si="293"/>
        <v>0.78415300546448086</v>
      </c>
      <c r="AK806" s="3">
        <f t="shared" si="294"/>
        <v>0.17619306586530914</v>
      </c>
      <c r="AL806" s="3">
        <f t="shared" si="295"/>
        <v>1.7619306586530914</v>
      </c>
      <c r="AM806" s="3">
        <f t="shared" si="296"/>
        <v>6.6072399699490925</v>
      </c>
      <c r="AN806" s="3">
        <f t="shared" si="297"/>
        <v>0</v>
      </c>
      <c r="AO806" s="3">
        <f t="shared" si="298"/>
        <v>6.6072399699490925</v>
      </c>
      <c r="AP806" s="1" t="str">
        <f>INDEX({"EAD";"EAD";"EAD";"EAD MOOC";"EAD";"EAD";"EAD FP";"EAD";"PRESENCIAL";"PRESENCIAL";"PRESENCIAL";"PRESENCIAL"}, MATCH(CONCATENATE(E806, ".", F806),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07" spans="1:42" x14ac:dyDescent="0.25">
      <c r="A807" s="1" t="s">
        <v>27</v>
      </c>
      <c r="B807" s="1" t="s">
        <v>43</v>
      </c>
      <c r="C807" s="1" t="s">
        <v>29</v>
      </c>
      <c r="D807" s="1" t="s">
        <v>45</v>
      </c>
      <c r="E807" s="1" t="s">
        <v>120</v>
      </c>
      <c r="F807" s="1" t="s">
        <v>21</v>
      </c>
      <c r="G807" s="1" t="s">
        <v>665</v>
      </c>
      <c r="H807" s="1" t="s">
        <v>952</v>
      </c>
      <c r="I807" s="1" t="s">
        <v>503</v>
      </c>
      <c r="J807" s="1" t="s">
        <v>125</v>
      </c>
      <c r="K807" s="1" t="s">
        <v>109</v>
      </c>
      <c r="L807" s="1">
        <v>3099341</v>
      </c>
      <c r="M807" s="1" t="s">
        <v>983</v>
      </c>
      <c r="N807" s="5">
        <f>DATE(2024,3,20)</f>
        <v>45371</v>
      </c>
      <c r="O807" s="5">
        <f>DATE(2026,3,20)</f>
        <v>46101</v>
      </c>
      <c r="P807" s="5">
        <f t="shared" si="279"/>
        <v>47196</v>
      </c>
      <c r="Q807" s="1">
        <v>360</v>
      </c>
      <c r="R807" s="1">
        <v>360</v>
      </c>
      <c r="S807" s="1">
        <f t="shared" si="280"/>
        <v>360</v>
      </c>
      <c r="T807" s="1">
        <v>3.75</v>
      </c>
      <c r="U807" s="1" t="str">
        <f t="shared" si="281"/>
        <v>SIM</v>
      </c>
      <c r="V807" s="1">
        <f t="shared" si="282"/>
        <v>731</v>
      </c>
      <c r="W807" s="4">
        <f t="shared" si="283"/>
        <v>0.49247606019151846</v>
      </c>
      <c r="X807" s="4">
        <f t="shared" si="284"/>
        <v>179.75376196990425</v>
      </c>
      <c r="Y807" s="4">
        <f t="shared" si="285"/>
        <v>0.22469220246238031</v>
      </c>
      <c r="AB807" s="5">
        <f t="shared" si="286"/>
        <v>45292</v>
      </c>
      <c r="AC807" s="5">
        <f t="shared" si="287"/>
        <v>45657</v>
      </c>
      <c r="AD807" s="1">
        <v>6</v>
      </c>
      <c r="AE807" s="1">
        <f t="shared" si="288"/>
        <v>0</v>
      </c>
      <c r="AF807" s="1">
        <f t="shared" si="289"/>
        <v>287</v>
      </c>
      <c r="AG807" s="1">
        <f t="shared" si="290"/>
        <v>0</v>
      </c>
      <c r="AH807" s="1">
        <f t="shared" si="291"/>
        <v>0</v>
      </c>
      <c r="AI807" s="1">
        <f t="shared" si="292"/>
        <v>0</v>
      </c>
      <c r="AJ807" s="3">
        <f t="shared" si="293"/>
        <v>0.78415300546448086</v>
      </c>
      <c r="AK807" s="3">
        <f t="shared" si="294"/>
        <v>0.17619306586530914</v>
      </c>
      <c r="AL807" s="3">
        <f t="shared" si="295"/>
        <v>1.0571583951918548</v>
      </c>
      <c r="AM807" s="3">
        <f t="shared" si="296"/>
        <v>3.9643439819694555</v>
      </c>
      <c r="AN807" s="3">
        <f t="shared" si="297"/>
        <v>0</v>
      </c>
      <c r="AO807" s="3">
        <f t="shared" si="298"/>
        <v>3.9643439819694555</v>
      </c>
      <c r="AP807" s="1" t="str">
        <f>INDEX({"EAD";"EAD";"EAD";"EAD MOOC";"EAD";"EAD";"EAD FP";"EAD";"PRESENCIAL";"PRESENCIAL";"PRESENCIAL";"PRESENCIAL"}, MATCH(CONCATENATE(E807, ".", F807),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08" spans="1:42" x14ac:dyDescent="0.25">
      <c r="A808" s="1" t="s">
        <v>27</v>
      </c>
      <c r="B808" s="1" t="s">
        <v>43</v>
      </c>
      <c r="C808" s="1" t="s">
        <v>29</v>
      </c>
      <c r="D808" s="1" t="s">
        <v>45</v>
      </c>
      <c r="E808" s="1" t="s">
        <v>120</v>
      </c>
      <c r="F808" s="1" t="s">
        <v>447</v>
      </c>
      <c r="G808" s="1" t="s">
        <v>161</v>
      </c>
      <c r="H808" s="1" t="s">
        <v>984</v>
      </c>
      <c r="I808" s="1" t="s">
        <v>228</v>
      </c>
      <c r="J808" s="1" t="s">
        <v>125</v>
      </c>
      <c r="K808" s="1" t="s">
        <v>109</v>
      </c>
      <c r="L808" s="1">
        <v>3147660</v>
      </c>
      <c r="M808" s="1" t="s">
        <v>985</v>
      </c>
      <c r="N808" s="5">
        <f>DATE(2024,8,1)</f>
        <v>45505</v>
      </c>
      <c r="O808" s="5">
        <f>DATE(2025,2,28)</f>
        <v>45716</v>
      </c>
      <c r="P808" s="5">
        <f t="shared" si="279"/>
        <v>45716</v>
      </c>
      <c r="Q808" s="1">
        <v>200</v>
      </c>
      <c r="R808" s="1">
        <v>160</v>
      </c>
      <c r="S808" s="1">
        <f t="shared" si="280"/>
        <v>200</v>
      </c>
      <c r="T808" s="1">
        <v>1</v>
      </c>
      <c r="U808" s="1" t="str">
        <f t="shared" si="281"/>
        <v>SIM</v>
      </c>
      <c r="V808" s="1">
        <f t="shared" si="282"/>
        <v>212</v>
      </c>
      <c r="W808" s="4">
        <f t="shared" si="283"/>
        <v>0.94339622641509435</v>
      </c>
      <c r="X808" s="4">
        <f t="shared" si="284"/>
        <v>200</v>
      </c>
      <c r="Y808" s="4">
        <f t="shared" si="285"/>
        <v>0.25</v>
      </c>
      <c r="AB808" s="5">
        <f t="shared" si="286"/>
        <v>45292</v>
      </c>
      <c r="AC808" s="5">
        <f t="shared" si="287"/>
        <v>45657</v>
      </c>
      <c r="AD808" s="1">
        <v>40</v>
      </c>
      <c r="AE808" s="1">
        <f t="shared" si="288"/>
        <v>0</v>
      </c>
      <c r="AF808" s="1">
        <f t="shared" si="289"/>
        <v>153</v>
      </c>
      <c r="AG808" s="1">
        <f t="shared" si="290"/>
        <v>0</v>
      </c>
      <c r="AH808" s="1">
        <f t="shared" si="291"/>
        <v>0</v>
      </c>
      <c r="AI808" s="1">
        <f t="shared" si="292"/>
        <v>0</v>
      </c>
      <c r="AJ808" s="3">
        <f t="shared" si="293"/>
        <v>0.72169811320754718</v>
      </c>
      <c r="AK808" s="3">
        <f t="shared" si="294"/>
        <v>0.18042452830188679</v>
      </c>
      <c r="AL808" s="3">
        <f t="shared" si="295"/>
        <v>7.216981132075472</v>
      </c>
      <c r="AM808" s="3">
        <f t="shared" si="296"/>
        <v>7.216981132075472</v>
      </c>
      <c r="AN808" s="3">
        <f t="shared" si="297"/>
        <v>0</v>
      </c>
      <c r="AO808" s="3">
        <f t="shared" si="298"/>
        <v>7.216981132075472</v>
      </c>
      <c r="AP808" s="1" t="str">
        <f>INDEX({"EAD";"EAD";"EAD";"EAD MOOC";"EAD";"EAD";"EAD FP";"EAD";"PRESENCIAL";"PRESENCIAL";"PRESENCIAL";"PRESENCIAL"}, MATCH(CONCATENATE(E808, ".", F808),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09" spans="1:42" x14ac:dyDescent="0.25">
      <c r="A809" s="1" t="s">
        <v>27</v>
      </c>
      <c r="B809" s="1" t="s">
        <v>43</v>
      </c>
      <c r="C809" s="1" t="s">
        <v>29</v>
      </c>
      <c r="D809" s="1" t="s">
        <v>45</v>
      </c>
      <c r="E809" s="1" t="s">
        <v>120</v>
      </c>
      <c r="F809" s="1" t="s">
        <v>447</v>
      </c>
      <c r="G809" s="1" t="s">
        <v>161</v>
      </c>
      <c r="H809" s="1" t="s">
        <v>986</v>
      </c>
      <c r="I809" s="1" t="s">
        <v>124</v>
      </c>
      <c r="J809" s="1" t="s">
        <v>125</v>
      </c>
      <c r="K809" s="1" t="s">
        <v>109</v>
      </c>
      <c r="L809" s="1">
        <v>3166456</v>
      </c>
      <c r="M809" s="1" t="s">
        <v>987</v>
      </c>
      <c r="N809" s="5">
        <f>DATE(2024,9,23)</f>
        <v>45558</v>
      </c>
      <c r="O809" s="5">
        <f>DATE(2024,9,27)</f>
        <v>45562</v>
      </c>
      <c r="P809" s="5">
        <f t="shared" si="279"/>
        <v>45562</v>
      </c>
      <c r="Q809" s="1">
        <v>20</v>
      </c>
      <c r="R809" s="1">
        <v>160</v>
      </c>
      <c r="S809" s="1">
        <f t="shared" si="280"/>
        <v>20</v>
      </c>
      <c r="T809" s="1">
        <v>1</v>
      </c>
      <c r="U809" s="1" t="str">
        <f t="shared" si="281"/>
        <v>SIM</v>
      </c>
      <c r="V809" s="1">
        <f t="shared" si="282"/>
        <v>5</v>
      </c>
      <c r="W809" s="4">
        <f t="shared" si="283"/>
        <v>4</v>
      </c>
      <c r="X809" s="4">
        <f t="shared" si="284"/>
        <v>20</v>
      </c>
      <c r="Y809" s="4">
        <f t="shared" si="285"/>
        <v>2.5000000000000001E-2</v>
      </c>
      <c r="AB809" s="5">
        <f t="shared" si="286"/>
        <v>45292</v>
      </c>
      <c r="AC809" s="5">
        <f t="shared" si="287"/>
        <v>45657</v>
      </c>
      <c r="AD809" s="1">
        <v>18</v>
      </c>
      <c r="AE809" s="1">
        <f t="shared" si="288"/>
        <v>0</v>
      </c>
      <c r="AF809" s="1">
        <f t="shared" si="289"/>
        <v>0</v>
      </c>
      <c r="AG809" s="1">
        <f t="shared" si="290"/>
        <v>0</v>
      </c>
      <c r="AH809" s="1">
        <f t="shared" si="291"/>
        <v>5</v>
      </c>
      <c r="AI809" s="1">
        <f t="shared" si="292"/>
        <v>0</v>
      </c>
      <c r="AJ809" s="3">
        <f t="shared" si="293"/>
        <v>1</v>
      </c>
      <c r="AK809" s="3">
        <f t="shared" si="294"/>
        <v>2.5000000000000001E-2</v>
      </c>
      <c r="AL809" s="3">
        <f t="shared" si="295"/>
        <v>0.45</v>
      </c>
      <c r="AM809" s="3">
        <f t="shared" si="296"/>
        <v>0.45</v>
      </c>
      <c r="AN809" s="3">
        <f t="shared" si="297"/>
        <v>0</v>
      </c>
      <c r="AO809" s="3">
        <f t="shared" si="298"/>
        <v>0.45</v>
      </c>
      <c r="AP809" s="1" t="str">
        <f>INDEX({"EAD";"EAD";"EAD";"EAD MOOC";"EAD";"EAD";"EAD FP";"EAD";"PRESENCIAL";"PRESENCIAL";"PRESENCIAL";"PRESENCIAL"}, MATCH(CONCATENATE(E809, ".", F809),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10" spans="1:42" x14ac:dyDescent="0.25">
      <c r="A810" s="1" t="s">
        <v>27</v>
      </c>
      <c r="B810" s="1" t="s">
        <v>43</v>
      </c>
      <c r="C810" s="1" t="s">
        <v>29</v>
      </c>
      <c r="D810" s="1" t="s">
        <v>45</v>
      </c>
      <c r="E810" s="1" t="s">
        <v>120</v>
      </c>
      <c r="F810" s="1" t="s">
        <v>21</v>
      </c>
      <c r="G810" s="1" t="s">
        <v>128</v>
      </c>
      <c r="H810" s="1" t="s">
        <v>907</v>
      </c>
      <c r="I810" s="1" t="s">
        <v>224</v>
      </c>
      <c r="J810" s="1" t="s">
        <v>125</v>
      </c>
      <c r="K810" s="1" t="s">
        <v>130</v>
      </c>
      <c r="L810" s="1">
        <v>3161756</v>
      </c>
      <c r="M810" s="1" t="s">
        <v>988</v>
      </c>
      <c r="N810" s="5">
        <f t="shared" ref="N810:N815" si="301">DATE(2024,9,30)</f>
        <v>45565</v>
      </c>
      <c r="O810" s="5">
        <f>DATE(2027,9,30)</f>
        <v>46660</v>
      </c>
      <c r="P810" s="5">
        <f t="shared" si="279"/>
        <v>47755</v>
      </c>
      <c r="Q810" s="1">
        <v>3171</v>
      </c>
      <c r="R810" s="1">
        <v>1200</v>
      </c>
      <c r="S810" s="1">
        <f t="shared" si="280"/>
        <v>3200</v>
      </c>
      <c r="T810" s="1">
        <v>1.5</v>
      </c>
      <c r="U810" s="1" t="str">
        <f t="shared" si="281"/>
        <v>SIM</v>
      </c>
      <c r="V810" s="1">
        <f t="shared" si="282"/>
        <v>1096</v>
      </c>
      <c r="W810" s="4">
        <f t="shared" si="283"/>
        <v>2.8932481751824817</v>
      </c>
      <c r="X810" s="4">
        <f t="shared" si="284"/>
        <v>1056.0355839416059</v>
      </c>
      <c r="Y810" s="4">
        <f t="shared" si="285"/>
        <v>1.3200444799270072</v>
      </c>
      <c r="AB810" s="5">
        <f t="shared" si="286"/>
        <v>45292</v>
      </c>
      <c r="AC810" s="5">
        <f t="shared" si="287"/>
        <v>45657</v>
      </c>
      <c r="AD810" s="1">
        <v>35</v>
      </c>
      <c r="AE810" s="1">
        <f t="shared" si="288"/>
        <v>0</v>
      </c>
      <c r="AF810" s="1">
        <f t="shared" si="289"/>
        <v>93</v>
      </c>
      <c r="AG810" s="1">
        <f t="shared" si="290"/>
        <v>0</v>
      </c>
      <c r="AH810" s="1">
        <f t="shared" si="291"/>
        <v>0</v>
      </c>
      <c r="AI810" s="1">
        <f t="shared" si="292"/>
        <v>0</v>
      </c>
      <c r="AJ810" s="3">
        <f t="shared" si="293"/>
        <v>0.25409836065573771</v>
      </c>
      <c r="AK810" s="3">
        <f t="shared" si="294"/>
        <v>0.3354211383421084</v>
      </c>
      <c r="AL810" s="3">
        <f t="shared" si="295"/>
        <v>11.739739841973794</v>
      </c>
      <c r="AM810" s="3">
        <f t="shared" si="296"/>
        <v>17.609609762960691</v>
      </c>
      <c r="AN810" s="3">
        <f t="shared" si="297"/>
        <v>0</v>
      </c>
      <c r="AO810" s="3">
        <f t="shared" si="298"/>
        <v>17.609609762960691</v>
      </c>
      <c r="AP810" s="1" t="str">
        <f>INDEX({"EAD";"EAD";"EAD";"EAD MOOC";"EAD";"EAD";"EAD FP";"EAD";"PRESENCIAL";"PRESENCIAL";"PRESENCIAL";"PRESENCIAL"}, MATCH(CONCATENATE(E810, ".", F810),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11" spans="1:42" x14ac:dyDescent="0.25">
      <c r="A811" s="1" t="s">
        <v>27</v>
      </c>
      <c r="B811" s="1" t="s">
        <v>43</v>
      </c>
      <c r="C811" s="1" t="s">
        <v>29</v>
      </c>
      <c r="D811" s="1" t="s">
        <v>45</v>
      </c>
      <c r="E811" s="1" t="s">
        <v>120</v>
      </c>
      <c r="F811" s="1" t="s">
        <v>21</v>
      </c>
      <c r="G811" s="1" t="s">
        <v>128</v>
      </c>
      <c r="H811" s="1" t="s">
        <v>890</v>
      </c>
      <c r="I811" s="1" t="s">
        <v>191</v>
      </c>
      <c r="J811" s="1" t="s">
        <v>125</v>
      </c>
      <c r="K811" s="1" t="s">
        <v>130</v>
      </c>
      <c r="L811" s="1">
        <v>3161760</v>
      </c>
      <c r="M811" s="1" t="s">
        <v>989</v>
      </c>
      <c r="N811" s="5">
        <f t="shared" si="301"/>
        <v>45565</v>
      </c>
      <c r="O811" s="5">
        <f>DATE(2027,9,30)</f>
        <v>46660</v>
      </c>
      <c r="P811" s="5">
        <f t="shared" si="279"/>
        <v>47755</v>
      </c>
      <c r="Q811" s="1">
        <v>3171</v>
      </c>
      <c r="R811" s="1">
        <v>1200</v>
      </c>
      <c r="S811" s="1">
        <f t="shared" si="280"/>
        <v>3200</v>
      </c>
      <c r="T811" s="1">
        <v>2.5</v>
      </c>
      <c r="U811" s="1" t="str">
        <f t="shared" si="281"/>
        <v>SIM</v>
      </c>
      <c r="V811" s="1">
        <f t="shared" si="282"/>
        <v>1096</v>
      </c>
      <c r="W811" s="4">
        <f t="shared" si="283"/>
        <v>2.8932481751824817</v>
      </c>
      <c r="X811" s="4">
        <f t="shared" si="284"/>
        <v>1056.0355839416059</v>
      </c>
      <c r="Y811" s="4">
        <f t="shared" si="285"/>
        <v>1.3200444799270072</v>
      </c>
      <c r="AB811" s="5">
        <f t="shared" si="286"/>
        <v>45292</v>
      </c>
      <c r="AC811" s="5">
        <f t="shared" si="287"/>
        <v>45657</v>
      </c>
      <c r="AD811" s="1">
        <v>36</v>
      </c>
      <c r="AE811" s="1">
        <f t="shared" si="288"/>
        <v>0</v>
      </c>
      <c r="AF811" s="1">
        <f t="shared" si="289"/>
        <v>93</v>
      </c>
      <c r="AG811" s="1">
        <f t="shared" si="290"/>
        <v>0</v>
      </c>
      <c r="AH811" s="1">
        <f t="shared" si="291"/>
        <v>0</v>
      </c>
      <c r="AI811" s="1">
        <f t="shared" si="292"/>
        <v>0</v>
      </c>
      <c r="AJ811" s="3">
        <f t="shared" si="293"/>
        <v>0.25409836065573771</v>
      </c>
      <c r="AK811" s="3">
        <f t="shared" si="294"/>
        <v>0.3354211383421084</v>
      </c>
      <c r="AL811" s="3">
        <f t="shared" si="295"/>
        <v>12.075160980315903</v>
      </c>
      <c r="AM811" s="3">
        <f t="shared" si="296"/>
        <v>30.187902450789757</v>
      </c>
      <c r="AN811" s="3">
        <f t="shared" si="297"/>
        <v>0</v>
      </c>
      <c r="AO811" s="3">
        <f t="shared" si="298"/>
        <v>30.187902450789757</v>
      </c>
      <c r="AP811" s="1" t="str">
        <f>INDEX({"EAD";"EAD";"EAD";"EAD MOOC";"EAD";"EAD";"EAD FP";"EAD";"PRESENCIAL";"PRESENCIAL";"PRESENCIAL";"PRESENCIAL"}, MATCH(CONCATENATE(E811, ".", F811),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12" spans="1:42" x14ac:dyDescent="0.25">
      <c r="A812" s="1" t="s">
        <v>27</v>
      </c>
      <c r="B812" s="1" t="s">
        <v>43</v>
      </c>
      <c r="C812" s="1" t="s">
        <v>29</v>
      </c>
      <c r="D812" s="1" t="s">
        <v>45</v>
      </c>
      <c r="E812" s="1" t="s">
        <v>120</v>
      </c>
      <c r="F812" s="1" t="s">
        <v>21</v>
      </c>
      <c r="G812" s="1" t="s">
        <v>121</v>
      </c>
      <c r="H812" s="1" t="s">
        <v>869</v>
      </c>
      <c r="I812" s="1" t="s">
        <v>228</v>
      </c>
      <c r="J812" s="1" t="s">
        <v>125</v>
      </c>
      <c r="K812" s="1" t="s">
        <v>109</v>
      </c>
      <c r="L812" s="1">
        <v>3161778</v>
      </c>
      <c r="M812" s="1" t="s">
        <v>990</v>
      </c>
      <c r="N812" s="5">
        <f t="shared" si="301"/>
        <v>45565</v>
      </c>
      <c r="O812" s="5">
        <f>DATE(2028,9,30)</f>
        <v>47026</v>
      </c>
      <c r="P812" s="5">
        <f t="shared" si="279"/>
        <v>48121</v>
      </c>
      <c r="Q812" s="1">
        <v>3620</v>
      </c>
      <c r="R812" s="1">
        <v>3600</v>
      </c>
      <c r="S812" s="1">
        <f t="shared" si="280"/>
        <v>3600</v>
      </c>
      <c r="T812" s="1">
        <v>2.5</v>
      </c>
      <c r="U812" s="1" t="str">
        <f t="shared" si="281"/>
        <v>SIM</v>
      </c>
      <c r="V812" s="1">
        <f t="shared" si="282"/>
        <v>1462</v>
      </c>
      <c r="W812" s="4">
        <f t="shared" si="283"/>
        <v>2.4623803009575922</v>
      </c>
      <c r="X812" s="4">
        <f t="shared" si="284"/>
        <v>898.76880984952118</v>
      </c>
      <c r="Y812" s="4">
        <f t="shared" si="285"/>
        <v>1.1234610123119015</v>
      </c>
      <c r="AB812" s="5">
        <f t="shared" si="286"/>
        <v>45292</v>
      </c>
      <c r="AC812" s="5">
        <f t="shared" si="287"/>
        <v>45657</v>
      </c>
      <c r="AD812" s="1">
        <v>15</v>
      </c>
      <c r="AE812" s="1">
        <f t="shared" si="288"/>
        <v>0</v>
      </c>
      <c r="AF812" s="1">
        <f t="shared" si="289"/>
        <v>93</v>
      </c>
      <c r="AG812" s="1">
        <f t="shared" si="290"/>
        <v>0</v>
      </c>
      <c r="AH812" s="1">
        <f t="shared" si="291"/>
        <v>0</v>
      </c>
      <c r="AI812" s="1">
        <f t="shared" si="292"/>
        <v>0</v>
      </c>
      <c r="AJ812" s="3">
        <f t="shared" si="293"/>
        <v>0.25409836065573771</v>
      </c>
      <c r="AK812" s="3">
        <f t="shared" si="294"/>
        <v>0.28546960148908973</v>
      </c>
      <c r="AL812" s="3">
        <f t="shared" si="295"/>
        <v>4.2820440223363461</v>
      </c>
      <c r="AM812" s="3">
        <f t="shared" si="296"/>
        <v>10.705110055840866</v>
      </c>
      <c r="AN812" s="3">
        <f t="shared" si="297"/>
        <v>0</v>
      </c>
      <c r="AO812" s="3">
        <f t="shared" si="298"/>
        <v>10.705110055840866</v>
      </c>
      <c r="AP812" s="1" t="str">
        <f>INDEX({"EAD";"EAD";"EAD";"EAD MOOC";"EAD";"EAD";"EAD FP";"EAD";"PRESENCIAL";"PRESENCIAL";"PRESENCIAL";"PRESENCIAL"}, MATCH(CONCATENATE(E812, ".", F812),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13" spans="1:42" x14ac:dyDescent="0.25">
      <c r="A813" s="1" t="s">
        <v>27</v>
      </c>
      <c r="B813" s="1" t="s">
        <v>43</v>
      </c>
      <c r="C813" s="1" t="s">
        <v>29</v>
      </c>
      <c r="D813" s="1" t="s">
        <v>45</v>
      </c>
      <c r="E813" s="1" t="s">
        <v>120</v>
      </c>
      <c r="F813" s="1" t="s">
        <v>21</v>
      </c>
      <c r="G813" s="1" t="s">
        <v>121</v>
      </c>
      <c r="H813" s="1" t="s">
        <v>279</v>
      </c>
      <c r="I813" s="1" t="s">
        <v>191</v>
      </c>
      <c r="J813" s="1" t="s">
        <v>125</v>
      </c>
      <c r="K813" s="1" t="s">
        <v>109</v>
      </c>
      <c r="L813" s="1">
        <v>3161782</v>
      </c>
      <c r="M813" s="1" t="s">
        <v>991</v>
      </c>
      <c r="N813" s="5">
        <f t="shared" si="301"/>
        <v>45565</v>
      </c>
      <c r="O813" s="5">
        <f>DATE(2028,3,1)</f>
        <v>46813</v>
      </c>
      <c r="P813" s="5">
        <f t="shared" si="279"/>
        <v>47908</v>
      </c>
      <c r="Q813" s="1">
        <v>2682</v>
      </c>
      <c r="R813" s="1">
        <v>2400</v>
      </c>
      <c r="S813" s="1">
        <f t="shared" si="280"/>
        <v>2400</v>
      </c>
      <c r="T813" s="1">
        <v>2.5</v>
      </c>
      <c r="U813" s="1" t="str">
        <f t="shared" si="281"/>
        <v>SIM</v>
      </c>
      <c r="V813" s="1">
        <f t="shared" si="282"/>
        <v>1249</v>
      </c>
      <c r="W813" s="4">
        <f t="shared" si="283"/>
        <v>1.9215372297838271</v>
      </c>
      <c r="X813" s="4">
        <f t="shared" si="284"/>
        <v>701.36108887109685</v>
      </c>
      <c r="Y813" s="4">
        <f t="shared" si="285"/>
        <v>0.87670136108887109</v>
      </c>
      <c r="AB813" s="5">
        <f t="shared" si="286"/>
        <v>45292</v>
      </c>
      <c r="AC813" s="5">
        <f t="shared" si="287"/>
        <v>45657</v>
      </c>
      <c r="AD813" s="1">
        <v>25</v>
      </c>
      <c r="AE813" s="1">
        <f t="shared" si="288"/>
        <v>0</v>
      </c>
      <c r="AF813" s="1">
        <f t="shared" si="289"/>
        <v>93</v>
      </c>
      <c r="AG813" s="1">
        <f t="shared" si="290"/>
        <v>0</v>
      </c>
      <c r="AH813" s="1">
        <f t="shared" si="291"/>
        <v>0</v>
      </c>
      <c r="AI813" s="1">
        <f t="shared" si="292"/>
        <v>0</v>
      </c>
      <c r="AJ813" s="3">
        <f t="shared" si="293"/>
        <v>0.25409836065573771</v>
      </c>
      <c r="AK813" s="3">
        <f t="shared" si="294"/>
        <v>0.22276837863733609</v>
      </c>
      <c r="AL813" s="3">
        <f t="shared" si="295"/>
        <v>5.5692094659334019</v>
      </c>
      <c r="AM813" s="3">
        <f t="shared" si="296"/>
        <v>13.923023664833504</v>
      </c>
      <c r="AN813" s="3">
        <f t="shared" si="297"/>
        <v>0</v>
      </c>
      <c r="AO813" s="3">
        <f t="shared" si="298"/>
        <v>13.923023664833504</v>
      </c>
      <c r="AP813" s="1" t="str">
        <f>INDEX({"EAD";"EAD";"EAD";"EAD MOOC";"EAD";"EAD";"EAD FP";"EAD";"PRESENCIAL";"PRESENCIAL";"PRESENCIAL";"PRESENCIAL"}, MATCH(CONCATENATE(E813, ".", F813),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14" spans="1:42" x14ac:dyDescent="0.25">
      <c r="A814" s="1" t="s">
        <v>27</v>
      </c>
      <c r="B814" s="1" t="s">
        <v>43</v>
      </c>
      <c r="C814" s="1" t="s">
        <v>29</v>
      </c>
      <c r="D814" s="1" t="s">
        <v>45</v>
      </c>
      <c r="E814" s="1" t="s">
        <v>120</v>
      </c>
      <c r="F814" s="1" t="s">
        <v>21</v>
      </c>
      <c r="G814" s="1" t="s">
        <v>140</v>
      </c>
      <c r="H814" s="1" t="s">
        <v>865</v>
      </c>
      <c r="I814" s="1" t="s">
        <v>224</v>
      </c>
      <c r="J814" s="1" t="s">
        <v>125</v>
      </c>
      <c r="K814" s="1" t="s">
        <v>109</v>
      </c>
      <c r="L814" s="1">
        <v>3161800</v>
      </c>
      <c r="M814" s="1" t="s">
        <v>992</v>
      </c>
      <c r="N814" s="5">
        <f t="shared" si="301"/>
        <v>45565</v>
      </c>
      <c r="O814" s="5">
        <f>DATE(2027,9,30)</f>
        <v>46660</v>
      </c>
      <c r="P814" s="5">
        <f t="shared" si="279"/>
        <v>47755</v>
      </c>
      <c r="Q814" s="1">
        <v>1680</v>
      </c>
      <c r="R814" s="1">
        <v>1600</v>
      </c>
      <c r="S814" s="1">
        <f t="shared" si="280"/>
        <v>1600</v>
      </c>
      <c r="T814" s="1">
        <v>1</v>
      </c>
      <c r="U814" s="1" t="str">
        <f t="shared" si="281"/>
        <v>SIM</v>
      </c>
      <c r="V814" s="1">
        <f t="shared" si="282"/>
        <v>1096</v>
      </c>
      <c r="W814" s="4">
        <f t="shared" si="283"/>
        <v>1.4598540145985401</v>
      </c>
      <c r="X814" s="4">
        <f t="shared" si="284"/>
        <v>532.8467153284671</v>
      </c>
      <c r="Y814" s="4">
        <f t="shared" si="285"/>
        <v>0.66605839416058388</v>
      </c>
      <c r="AB814" s="5">
        <f t="shared" si="286"/>
        <v>45292</v>
      </c>
      <c r="AC814" s="5">
        <f t="shared" si="287"/>
        <v>45657</v>
      </c>
      <c r="AD814" s="1">
        <v>18</v>
      </c>
      <c r="AE814" s="1">
        <f t="shared" si="288"/>
        <v>0</v>
      </c>
      <c r="AF814" s="1">
        <f t="shared" si="289"/>
        <v>93</v>
      </c>
      <c r="AG814" s="1">
        <f t="shared" si="290"/>
        <v>0</v>
      </c>
      <c r="AH814" s="1">
        <f t="shared" si="291"/>
        <v>0</v>
      </c>
      <c r="AI814" s="1">
        <f t="shared" si="292"/>
        <v>0</v>
      </c>
      <c r="AJ814" s="3">
        <f t="shared" si="293"/>
        <v>0.25409836065573771</v>
      </c>
      <c r="AK814" s="3">
        <f t="shared" si="294"/>
        <v>0.16924434605719754</v>
      </c>
      <c r="AL814" s="3">
        <f t="shared" si="295"/>
        <v>3.0463982290295557</v>
      </c>
      <c r="AM814" s="3">
        <f t="shared" si="296"/>
        <v>3.0463982290295557</v>
      </c>
      <c r="AN814" s="3">
        <f t="shared" si="297"/>
        <v>0</v>
      </c>
      <c r="AO814" s="3">
        <f t="shared" si="298"/>
        <v>3.0463982290295557</v>
      </c>
      <c r="AP814" s="1" t="str">
        <f>INDEX({"EAD";"EAD";"EAD";"EAD MOOC";"EAD";"EAD";"EAD FP";"EAD";"PRESENCIAL";"PRESENCIAL";"PRESENCIAL";"PRESENCIAL"}, MATCH(CONCATENATE(E814, ".", F814),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15" spans="1:42" x14ac:dyDescent="0.25">
      <c r="A815" s="1" t="s">
        <v>27</v>
      </c>
      <c r="B815" s="1" t="s">
        <v>43</v>
      </c>
      <c r="C815" s="1" t="s">
        <v>29</v>
      </c>
      <c r="D815" s="1" t="s">
        <v>45</v>
      </c>
      <c r="E815" s="1" t="s">
        <v>120</v>
      </c>
      <c r="F815" s="1" t="s">
        <v>447</v>
      </c>
      <c r="G815" s="1" t="s">
        <v>161</v>
      </c>
      <c r="H815" s="1" t="s">
        <v>993</v>
      </c>
      <c r="I815" s="1" t="s">
        <v>228</v>
      </c>
      <c r="J815" s="1" t="s">
        <v>125</v>
      </c>
      <c r="K815" s="1" t="s">
        <v>109</v>
      </c>
      <c r="L815" s="1">
        <v>3166451</v>
      </c>
      <c r="M815" s="1" t="s">
        <v>994</v>
      </c>
      <c r="N815" s="5">
        <f t="shared" si="301"/>
        <v>45565</v>
      </c>
      <c r="O815" s="5">
        <f>DATE(2024,10,11)</f>
        <v>45576</v>
      </c>
      <c r="P815" s="5">
        <f t="shared" si="279"/>
        <v>45576</v>
      </c>
      <c r="Q815" s="1">
        <v>40</v>
      </c>
      <c r="R815" s="1">
        <v>200</v>
      </c>
      <c r="S815" s="1">
        <f t="shared" si="280"/>
        <v>40</v>
      </c>
      <c r="T815" s="1">
        <v>1</v>
      </c>
      <c r="U815" s="1" t="str">
        <f t="shared" si="281"/>
        <v>SIM</v>
      </c>
      <c r="V815" s="1">
        <f t="shared" si="282"/>
        <v>12</v>
      </c>
      <c r="W815" s="4">
        <f t="shared" si="283"/>
        <v>3.3333333333333335</v>
      </c>
      <c r="X815" s="4">
        <f t="shared" si="284"/>
        <v>40</v>
      </c>
      <c r="Y815" s="4">
        <f t="shared" si="285"/>
        <v>0.05</v>
      </c>
      <c r="AB815" s="5">
        <f t="shared" si="286"/>
        <v>45292</v>
      </c>
      <c r="AC815" s="5">
        <f t="shared" si="287"/>
        <v>45657</v>
      </c>
      <c r="AD815" s="1">
        <v>22</v>
      </c>
      <c r="AE815" s="1">
        <f t="shared" si="288"/>
        <v>0</v>
      </c>
      <c r="AF815" s="1">
        <f t="shared" si="289"/>
        <v>0</v>
      </c>
      <c r="AG815" s="1">
        <f t="shared" si="290"/>
        <v>0</v>
      </c>
      <c r="AH815" s="1">
        <f t="shared" si="291"/>
        <v>12</v>
      </c>
      <c r="AI815" s="1">
        <f t="shared" si="292"/>
        <v>0</v>
      </c>
      <c r="AJ815" s="3">
        <f t="shared" si="293"/>
        <v>1</v>
      </c>
      <c r="AK815" s="3">
        <f t="shared" si="294"/>
        <v>0.05</v>
      </c>
      <c r="AL815" s="3">
        <f t="shared" si="295"/>
        <v>1.1000000000000001</v>
      </c>
      <c r="AM815" s="3">
        <f t="shared" si="296"/>
        <v>1.1000000000000001</v>
      </c>
      <c r="AN815" s="3">
        <f t="shared" si="297"/>
        <v>0</v>
      </c>
      <c r="AO815" s="3">
        <f t="shared" si="298"/>
        <v>1.1000000000000001</v>
      </c>
      <c r="AP815" s="1" t="str">
        <f>INDEX({"EAD";"EAD";"EAD";"EAD MOOC";"EAD";"EAD";"EAD FP";"EAD";"PRESENCIAL";"PRESENCIAL";"PRESENCIAL";"PRESENCIAL"}, MATCH(CONCATENATE(E815, ".", F815),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16" spans="1:42" x14ac:dyDescent="0.25">
      <c r="A816" s="1" t="s">
        <v>27</v>
      </c>
      <c r="B816" s="1" t="s">
        <v>46</v>
      </c>
      <c r="C816" s="1" t="s">
        <v>29</v>
      </c>
      <c r="D816" s="1" t="s">
        <v>47</v>
      </c>
      <c r="E816" s="1" t="s">
        <v>120</v>
      </c>
      <c r="F816" s="1" t="s">
        <v>21</v>
      </c>
      <c r="G816" s="1" t="s">
        <v>278</v>
      </c>
      <c r="H816" s="1" t="s">
        <v>405</v>
      </c>
      <c r="I816" s="1" t="s">
        <v>172</v>
      </c>
      <c r="J816" s="1" t="s">
        <v>125</v>
      </c>
      <c r="K816" s="1" t="s">
        <v>109</v>
      </c>
      <c r="L816" s="1">
        <v>2138874</v>
      </c>
      <c r="M816" s="1" t="s">
        <v>995</v>
      </c>
      <c r="N816" s="5">
        <f>DATE(2017,2,6)</f>
        <v>42772</v>
      </c>
      <c r="O816" s="5">
        <f>DATE(2020,12,23)</f>
        <v>44188</v>
      </c>
      <c r="P816" s="5">
        <f t="shared" si="279"/>
        <v>45283</v>
      </c>
      <c r="Q816" s="1">
        <v>3137</v>
      </c>
      <c r="R816" s="1">
        <v>3200</v>
      </c>
      <c r="S816" s="1">
        <f t="shared" si="280"/>
        <v>3200</v>
      </c>
      <c r="T816" s="1">
        <v>2.5</v>
      </c>
      <c r="U816" s="1" t="str">
        <f t="shared" si="281"/>
        <v>NÃO</v>
      </c>
      <c r="V816" s="1">
        <f t="shared" si="282"/>
        <v>1417</v>
      </c>
      <c r="W816" s="4">
        <f t="shared" si="283"/>
        <v>2.213832039520113</v>
      </c>
      <c r="X816" s="4">
        <f t="shared" si="284"/>
        <v>808.04869442484119</v>
      </c>
      <c r="Y816" s="4">
        <f t="shared" si="285"/>
        <v>1.0100608680310514</v>
      </c>
      <c r="AB816" s="5">
        <f t="shared" si="286"/>
        <v>45292</v>
      </c>
      <c r="AC816" s="5">
        <f t="shared" si="287"/>
        <v>45657</v>
      </c>
      <c r="AE816" s="1">
        <f t="shared" si="288"/>
        <v>0</v>
      </c>
      <c r="AF816" s="1">
        <f t="shared" si="289"/>
        <v>0</v>
      </c>
      <c r="AG816" s="1">
        <f t="shared" si="290"/>
        <v>0</v>
      </c>
      <c r="AH816" s="1">
        <f t="shared" si="291"/>
        <v>0</v>
      </c>
      <c r="AI816" s="1">
        <f t="shared" si="292"/>
        <v>183</v>
      </c>
      <c r="AJ816" s="3">
        <f t="shared" si="293"/>
        <v>0.5</v>
      </c>
      <c r="AK816" s="3">
        <f t="shared" si="294"/>
        <v>0.50503043401552572</v>
      </c>
      <c r="AL816" s="3">
        <f t="shared" si="295"/>
        <v>0</v>
      </c>
      <c r="AM816" s="3">
        <f t="shared" si="296"/>
        <v>0</v>
      </c>
      <c r="AN816" s="3">
        <f t="shared" si="297"/>
        <v>0</v>
      </c>
      <c r="AO816" s="3">
        <f t="shared" si="298"/>
        <v>0</v>
      </c>
      <c r="AP816" s="1" t="str">
        <f>INDEX({"EAD";"EAD";"EAD";"EAD MOOC";"EAD";"EAD";"EAD FP";"EAD";"PRESENCIAL";"PRESENCIAL";"PRESENCIAL";"PRESENCIAL"}, MATCH(CONCATENATE(E816, ".", F816),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17" spans="1:42" x14ac:dyDescent="0.25">
      <c r="A817" s="1" t="s">
        <v>27</v>
      </c>
      <c r="B817" s="1" t="s">
        <v>46</v>
      </c>
      <c r="C817" s="1" t="s">
        <v>29</v>
      </c>
      <c r="D817" s="1" t="s">
        <v>47</v>
      </c>
      <c r="E817" s="1" t="s">
        <v>120</v>
      </c>
      <c r="F817" s="1" t="s">
        <v>21</v>
      </c>
      <c r="G817" s="1" t="s">
        <v>278</v>
      </c>
      <c r="H817" s="1" t="s">
        <v>405</v>
      </c>
      <c r="I817" s="1" t="s">
        <v>172</v>
      </c>
      <c r="J817" s="1" t="s">
        <v>125</v>
      </c>
      <c r="K817" s="1" t="s">
        <v>109</v>
      </c>
      <c r="L817" s="1">
        <v>2488832</v>
      </c>
      <c r="M817" s="1" t="s">
        <v>996</v>
      </c>
      <c r="N817" s="5">
        <f>DATE(2018,2,5)</f>
        <v>43136</v>
      </c>
      <c r="O817" s="5">
        <f>DATE(2021,12,20)</f>
        <v>44550</v>
      </c>
      <c r="P817" s="5">
        <f t="shared" si="279"/>
        <v>45645</v>
      </c>
      <c r="Q817" s="1">
        <v>3205</v>
      </c>
      <c r="R817" s="1">
        <v>3200</v>
      </c>
      <c r="S817" s="1">
        <f t="shared" si="280"/>
        <v>3200</v>
      </c>
      <c r="T817" s="1">
        <v>2.5</v>
      </c>
      <c r="U817" s="1" t="str">
        <f t="shared" si="281"/>
        <v>SIM</v>
      </c>
      <c r="V817" s="1">
        <f t="shared" si="282"/>
        <v>1415</v>
      </c>
      <c r="W817" s="4">
        <f t="shared" si="283"/>
        <v>2.2614840989399294</v>
      </c>
      <c r="X817" s="4">
        <f t="shared" si="284"/>
        <v>825.44169611307427</v>
      </c>
      <c r="Y817" s="4">
        <f t="shared" si="285"/>
        <v>1.0318021201413428</v>
      </c>
      <c r="AB817" s="5">
        <f t="shared" si="286"/>
        <v>45292</v>
      </c>
      <c r="AC817" s="5">
        <f t="shared" si="287"/>
        <v>45657</v>
      </c>
      <c r="AD817" s="1">
        <v>1</v>
      </c>
      <c r="AE817" s="1">
        <f t="shared" si="288"/>
        <v>0</v>
      </c>
      <c r="AF817" s="1">
        <f t="shared" si="289"/>
        <v>0</v>
      </c>
      <c r="AG817" s="1">
        <f t="shared" si="290"/>
        <v>0</v>
      </c>
      <c r="AH817" s="1">
        <f t="shared" si="291"/>
        <v>0</v>
      </c>
      <c r="AI817" s="1">
        <f t="shared" si="292"/>
        <v>183</v>
      </c>
      <c r="AJ817" s="3">
        <f t="shared" si="293"/>
        <v>0.5</v>
      </c>
      <c r="AK817" s="3">
        <f t="shared" si="294"/>
        <v>0.51590106007067138</v>
      </c>
      <c r="AL817" s="3">
        <f t="shared" si="295"/>
        <v>0.25795053003533569</v>
      </c>
      <c r="AM817" s="3">
        <f t="shared" si="296"/>
        <v>0.64487632508833925</v>
      </c>
      <c r="AN817" s="3">
        <f t="shared" si="297"/>
        <v>0</v>
      </c>
      <c r="AO817" s="3">
        <f t="shared" si="298"/>
        <v>0.64487632508833925</v>
      </c>
      <c r="AP817" s="1" t="str">
        <f>INDEX({"EAD";"EAD";"EAD";"EAD MOOC";"EAD";"EAD";"EAD FP";"EAD";"PRESENCIAL";"PRESENCIAL";"PRESENCIAL";"PRESENCIAL"}, MATCH(CONCATENATE(E817, ".", F817),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18" spans="1:42" x14ac:dyDescent="0.25">
      <c r="A818" s="1" t="s">
        <v>27</v>
      </c>
      <c r="B818" s="1" t="s">
        <v>46</v>
      </c>
      <c r="C818" s="1" t="s">
        <v>29</v>
      </c>
      <c r="D818" s="1" t="s">
        <v>47</v>
      </c>
      <c r="E818" s="1" t="s">
        <v>120</v>
      </c>
      <c r="F818" s="1" t="s">
        <v>21</v>
      </c>
      <c r="G818" s="1" t="s">
        <v>278</v>
      </c>
      <c r="H818" s="1" t="s">
        <v>405</v>
      </c>
      <c r="I818" s="1" t="s">
        <v>172</v>
      </c>
      <c r="J818" s="1" t="s">
        <v>125</v>
      </c>
      <c r="K818" s="1" t="s">
        <v>109</v>
      </c>
      <c r="L818" s="1">
        <v>2584751</v>
      </c>
      <c r="M818" s="1" t="s">
        <v>997</v>
      </c>
      <c r="N818" s="5">
        <f>DATE(2019,2,4)</f>
        <v>43500</v>
      </c>
      <c r="O818" s="5">
        <f>DATE(2022,12,23)</f>
        <v>44918</v>
      </c>
      <c r="P818" s="5">
        <f t="shared" si="279"/>
        <v>46013</v>
      </c>
      <c r="Q818" s="1">
        <v>3205</v>
      </c>
      <c r="R818" s="1">
        <v>3200</v>
      </c>
      <c r="S818" s="1">
        <f t="shared" si="280"/>
        <v>3200</v>
      </c>
      <c r="T818" s="1">
        <v>2.5</v>
      </c>
      <c r="U818" s="1" t="str">
        <f t="shared" si="281"/>
        <v>SIM</v>
      </c>
      <c r="V818" s="1">
        <f t="shared" si="282"/>
        <v>1419</v>
      </c>
      <c r="W818" s="4">
        <f t="shared" si="283"/>
        <v>2.2551092318534178</v>
      </c>
      <c r="X818" s="4">
        <f t="shared" si="284"/>
        <v>823.11486962649747</v>
      </c>
      <c r="Y818" s="4">
        <f t="shared" si="285"/>
        <v>1.0288935870331217</v>
      </c>
      <c r="AB818" s="5">
        <f t="shared" si="286"/>
        <v>45292</v>
      </c>
      <c r="AC818" s="5">
        <f t="shared" si="287"/>
        <v>45657</v>
      </c>
      <c r="AD818" s="1">
        <v>2</v>
      </c>
      <c r="AE818" s="1">
        <f t="shared" si="288"/>
        <v>0</v>
      </c>
      <c r="AF818" s="1">
        <f t="shared" si="289"/>
        <v>0</v>
      </c>
      <c r="AG818" s="1">
        <f t="shared" si="290"/>
        <v>0</v>
      </c>
      <c r="AH818" s="1">
        <f t="shared" si="291"/>
        <v>0</v>
      </c>
      <c r="AI818" s="1">
        <f t="shared" si="292"/>
        <v>183</v>
      </c>
      <c r="AJ818" s="3">
        <f t="shared" si="293"/>
        <v>0.5</v>
      </c>
      <c r="AK818" s="3">
        <f t="shared" si="294"/>
        <v>0.51444679351656086</v>
      </c>
      <c r="AL818" s="3">
        <f t="shared" si="295"/>
        <v>0.51444679351656086</v>
      </c>
      <c r="AM818" s="3">
        <f t="shared" si="296"/>
        <v>1.2861169837914022</v>
      </c>
      <c r="AN818" s="3">
        <f t="shared" si="297"/>
        <v>0</v>
      </c>
      <c r="AO818" s="3">
        <f t="shared" si="298"/>
        <v>1.2861169837914022</v>
      </c>
      <c r="AP818" s="1" t="str">
        <f>INDEX({"EAD";"EAD";"EAD";"EAD MOOC";"EAD";"EAD";"EAD FP";"EAD";"PRESENCIAL";"PRESENCIAL";"PRESENCIAL";"PRESENCIAL"}, MATCH(CONCATENATE(E818, ".", F818),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19" spans="1:42" x14ac:dyDescent="0.25">
      <c r="A819" s="1" t="s">
        <v>27</v>
      </c>
      <c r="B819" s="1" t="s">
        <v>46</v>
      </c>
      <c r="C819" s="1" t="s">
        <v>29</v>
      </c>
      <c r="D819" s="1" t="s">
        <v>47</v>
      </c>
      <c r="E819" s="1" t="s">
        <v>120</v>
      </c>
      <c r="F819" s="1" t="s">
        <v>21</v>
      </c>
      <c r="G819" s="1" t="s">
        <v>128</v>
      </c>
      <c r="H819" s="1" t="s">
        <v>129</v>
      </c>
      <c r="I819" s="1" t="s">
        <v>124</v>
      </c>
      <c r="J819" s="1" t="s">
        <v>125</v>
      </c>
      <c r="K819" s="1" t="s">
        <v>130</v>
      </c>
      <c r="L819" s="1">
        <v>2676320</v>
      </c>
      <c r="M819" s="1" t="s">
        <v>998</v>
      </c>
      <c r="N819" s="5">
        <f>DATE(2020,2,10)</f>
        <v>43871</v>
      </c>
      <c r="O819" s="5">
        <f>DATE(2022,12,23)</f>
        <v>44918</v>
      </c>
      <c r="P819" s="5">
        <f t="shared" si="279"/>
        <v>46013</v>
      </c>
      <c r="Q819" s="1">
        <v>3774</v>
      </c>
      <c r="R819" s="1">
        <v>800</v>
      </c>
      <c r="S819" s="1">
        <f t="shared" si="280"/>
        <v>3000</v>
      </c>
      <c r="T819" s="1">
        <v>1.5</v>
      </c>
      <c r="U819" s="1" t="str">
        <f t="shared" si="281"/>
        <v>SIM</v>
      </c>
      <c r="V819" s="1">
        <f t="shared" si="282"/>
        <v>1048</v>
      </c>
      <c r="W819" s="4">
        <f t="shared" si="283"/>
        <v>2.8625954198473282</v>
      </c>
      <c r="X819" s="4">
        <f t="shared" si="284"/>
        <v>1044.8473282442749</v>
      </c>
      <c r="Y819" s="4">
        <f t="shared" si="285"/>
        <v>1.3060591603053435</v>
      </c>
      <c r="AB819" s="5">
        <f t="shared" si="286"/>
        <v>45292</v>
      </c>
      <c r="AC819" s="5">
        <f t="shared" si="287"/>
        <v>45657</v>
      </c>
      <c r="AD819" s="1">
        <v>2</v>
      </c>
      <c r="AE819" s="1">
        <f t="shared" si="288"/>
        <v>0</v>
      </c>
      <c r="AF819" s="1">
        <f t="shared" si="289"/>
        <v>0</v>
      </c>
      <c r="AG819" s="1">
        <f t="shared" si="290"/>
        <v>0</v>
      </c>
      <c r="AH819" s="1">
        <f t="shared" si="291"/>
        <v>0</v>
      </c>
      <c r="AI819" s="1">
        <f t="shared" si="292"/>
        <v>183</v>
      </c>
      <c r="AJ819" s="3">
        <f t="shared" si="293"/>
        <v>0.5</v>
      </c>
      <c r="AK819" s="3">
        <f t="shared" si="294"/>
        <v>0.65302958015267176</v>
      </c>
      <c r="AL819" s="3">
        <f t="shared" si="295"/>
        <v>0.65302958015267176</v>
      </c>
      <c r="AM819" s="3">
        <f t="shared" si="296"/>
        <v>0.97954437022900764</v>
      </c>
      <c r="AN819" s="3">
        <f t="shared" si="297"/>
        <v>0</v>
      </c>
      <c r="AO819" s="3">
        <f t="shared" si="298"/>
        <v>0.97954437022900764</v>
      </c>
      <c r="AP819" s="1" t="str">
        <f>INDEX({"EAD";"EAD";"EAD";"EAD MOOC";"EAD";"EAD";"EAD FP";"EAD";"PRESENCIAL";"PRESENCIAL";"PRESENCIAL";"PRESENCIAL"}, MATCH(CONCATENATE(E819, ".", F819),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20" spans="1:42" x14ac:dyDescent="0.25">
      <c r="A820" s="1" t="s">
        <v>27</v>
      </c>
      <c r="B820" s="1" t="s">
        <v>46</v>
      </c>
      <c r="C820" s="1" t="s">
        <v>29</v>
      </c>
      <c r="D820" s="1" t="s">
        <v>47</v>
      </c>
      <c r="E820" s="1" t="s">
        <v>120</v>
      </c>
      <c r="F820" s="1" t="s">
        <v>21</v>
      </c>
      <c r="G820" s="1" t="s">
        <v>278</v>
      </c>
      <c r="H820" s="1" t="s">
        <v>405</v>
      </c>
      <c r="I820" s="1" t="s">
        <v>172</v>
      </c>
      <c r="J820" s="1" t="s">
        <v>125</v>
      </c>
      <c r="K820" s="1" t="s">
        <v>109</v>
      </c>
      <c r="L820" s="1">
        <v>2678921</v>
      </c>
      <c r="M820" s="1" t="s">
        <v>999</v>
      </c>
      <c r="N820" s="5">
        <f>DATE(2020,2,10)</f>
        <v>43871</v>
      </c>
      <c r="O820" s="5">
        <f>DATE(2023,12,29)</f>
        <v>45289</v>
      </c>
      <c r="P820" s="5">
        <f t="shared" si="279"/>
        <v>46384</v>
      </c>
      <c r="Q820" s="1">
        <v>3072</v>
      </c>
      <c r="R820" s="1">
        <v>3200</v>
      </c>
      <c r="S820" s="1">
        <f t="shared" si="280"/>
        <v>3200</v>
      </c>
      <c r="T820" s="1">
        <v>2.5</v>
      </c>
      <c r="U820" s="1" t="str">
        <f t="shared" si="281"/>
        <v>SIM</v>
      </c>
      <c r="V820" s="1">
        <f t="shared" si="282"/>
        <v>1419</v>
      </c>
      <c r="W820" s="4">
        <f t="shared" si="283"/>
        <v>2.1649048625792813</v>
      </c>
      <c r="X820" s="4">
        <f t="shared" si="284"/>
        <v>790.19027484143771</v>
      </c>
      <c r="Y820" s="4">
        <f t="shared" si="285"/>
        <v>0.98773784355179717</v>
      </c>
      <c r="AB820" s="5">
        <f t="shared" si="286"/>
        <v>45292</v>
      </c>
      <c r="AC820" s="5">
        <f t="shared" si="287"/>
        <v>45657</v>
      </c>
      <c r="AD820" s="1">
        <v>12</v>
      </c>
      <c r="AE820" s="1">
        <f t="shared" si="288"/>
        <v>0</v>
      </c>
      <c r="AF820" s="1">
        <f t="shared" si="289"/>
        <v>0</v>
      </c>
      <c r="AG820" s="1">
        <f t="shared" si="290"/>
        <v>0</v>
      </c>
      <c r="AH820" s="1">
        <f t="shared" si="291"/>
        <v>0</v>
      </c>
      <c r="AI820" s="1">
        <f t="shared" si="292"/>
        <v>183</v>
      </c>
      <c r="AJ820" s="3">
        <f t="shared" si="293"/>
        <v>0.5</v>
      </c>
      <c r="AK820" s="3">
        <f t="shared" si="294"/>
        <v>0.49386892177589858</v>
      </c>
      <c r="AL820" s="3">
        <f t="shared" si="295"/>
        <v>2.9632135306553913</v>
      </c>
      <c r="AM820" s="3">
        <f t="shared" si="296"/>
        <v>7.4080338266384782</v>
      </c>
      <c r="AN820" s="3">
        <f t="shared" si="297"/>
        <v>0</v>
      </c>
      <c r="AO820" s="3">
        <f t="shared" si="298"/>
        <v>7.4080338266384782</v>
      </c>
      <c r="AP820" s="1" t="str">
        <f>INDEX({"EAD";"EAD";"EAD";"EAD MOOC";"EAD";"EAD";"EAD FP";"EAD";"PRESENCIAL";"PRESENCIAL";"PRESENCIAL";"PRESENCIAL"}, MATCH(CONCATENATE(E820, ".", F820),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21" spans="1:42" x14ac:dyDescent="0.25">
      <c r="A821" s="1" t="s">
        <v>27</v>
      </c>
      <c r="B821" s="1" t="s">
        <v>46</v>
      </c>
      <c r="C821" s="1" t="s">
        <v>29</v>
      </c>
      <c r="D821" s="1" t="s">
        <v>47</v>
      </c>
      <c r="E821" s="1" t="s">
        <v>120</v>
      </c>
      <c r="F821" s="1" t="s">
        <v>21</v>
      </c>
      <c r="G821" s="1" t="s">
        <v>128</v>
      </c>
      <c r="H821" s="1" t="s">
        <v>129</v>
      </c>
      <c r="I821" s="1" t="s">
        <v>124</v>
      </c>
      <c r="J821" s="1" t="s">
        <v>125</v>
      </c>
      <c r="K821" s="1" t="s">
        <v>130</v>
      </c>
      <c r="L821" s="1">
        <v>2759597</v>
      </c>
      <c r="M821" s="1" t="s">
        <v>1000</v>
      </c>
      <c r="N821" s="5">
        <f>DATE(2021,4,12)</f>
        <v>44298</v>
      </c>
      <c r="O821" s="5">
        <f>DATE(2023,12,23)</f>
        <v>45283</v>
      </c>
      <c r="P821" s="5">
        <f t="shared" si="279"/>
        <v>46378</v>
      </c>
      <c r="Q821" s="1">
        <v>3468</v>
      </c>
      <c r="R821" s="1">
        <v>800</v>
      </c>
      <c r="S821" s="1">
        <f t="shared" si="280"/>
        <v>3000</v>
      </c>
      <c r="T821" s="1">
        <v>1.5</v>
      </c>
      <c r="U821" s="1" t="str">
        <f t="shared" si="281"/>
        <v>SIM</v>
      </c>
      <c r="V821" s="1">
        <f t="shared" si="282"/>
        <v>986</v>
      </c>
      <c r="W821" s="4">
        <f t="shared" si="283"/>
        <v>3.0425963488843815</v>
      </c>
      <c r="X821" s="4">
        <f t="shared" si="284"/>
        <v>1110.5476673427993</v>
      </c>
      <c r="Y821" s="4">
        <f t="shared" si="285"/>
        <v>1.3881845841784992</v>
      </c>
      <c r="AB821" s="5">
        <f t="shared" si="286"/>
        <v>45292</v>
      </c>
      <c r="AC821" s="5">
        <f t="shared" si="287"/>
        <v>45657</v>
      </c>
      <c r="AD821" s="1">
        <v>2</v>
      </c>
      <c r="AE821" s="1">
        <f t="shared" si="288"/>
        <v>0</v>
      </c>
      <c r="AF821" s="1">
        <f t="shared" si="289"/>
        <v>0</v>
      </c>
      <c r="AG821" s="1">
        <f t="shared" si="290"/>
        <v>0</v>
      </c>
      <c r="AH821" s="1">
        <f t="shared" si="291"/>
        <v>0</v>
      </c>
      <c r="AI821" s="1">
        <f t="shared" si="292"/>
        <v>183</v>
      </c>
      <c r="AJ821" s="3">
        <f t="shared" si="293"/>
        <v>0.5</v>
      </c>
      <c r="AK821" s="3">
        <f t="shared" si="294"/>
        <v>0.69409229208924961</v>
      </c>
      <c r="AL821" s="3">
        <f t="shared" si="295"/>
        <v>0.69409229208924961</v>
      </c>
      <c r="AM821" s="3">
        <f t="shared" si="296"/>
        <v>1.0411384381338744</v>
      </c>
      <c r="AN821" s="3">
        <f t="shared" si="297"/>
        <v>0</v>
      </c>
      <c r="AO821" s="3">
        <f t="shared" si="298"/>
        <v>1.0411384381338744</v>
      </c>
      <c r="AP821" s="1" t="str">
        <f>INDEX({"EAD";"EAD";"EAD";"EAD MOOC";"EAD";"EAD";"EAD FP";"EAD";"PRESENCIAL";"PRESENCIAL";"PRESENCIAL";"PRESENCIAL"}, MATCH(CONCATENATE(E821, ".", F821),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22" spans="1:42" x14ac:dyDescent="0.25">
      <c r="A822" s="1" t="s">
        <v>27</v>
      </c>
      <c r="B822" s="1" t="s">
        <v>46</v>
      </c>
      <c r="C822" s="1" t="s">
        <v>29</v>
      </c>
      <c r="D822" s="1" t="s">
        <v>47</v>
      </c>
      <c r="E822" s="1" t="s">
        <v>120</v>
      </c>
      <c r="F822" s="1" t="s">
        <v>21</v>
      </c>
      <c r="G822" s="1" t="s">
        <v>128</v>
      </c>
      <c r="H822" s="1" t="s">
        <v>470</v>
      </c>
      <c r="I822" s="1" t="s">
        <v>107</v>
      </c>
      <c r="J822" s="1" t="s">
        <v>108</v>
      </c>
      <c r="K822" s="1" t="s">
        <v>130</v>
      </c>
      <c r="L822" s="1">
        <v>2759598</v>
      </c>
      <c r="M822" s="1" t="s">
        <v>1001</v>
      </c>
      <c r="N822" s="5">
        <f>DATE(2021,4,12)</f>
        <v>44298</v>
      </c>
      <c r="O822" s="5">
        <f>DATE(2023,12,23)</f>
        <v>45283</v>
      </c>
      <c r="P822" s="5">
        <f t="shared" si="279"/>
        <v>46378</v>
      </c>
      <c r="Q822" s="1">
        <v>3474</v>
      </c>
      <c r="R822" s="1">
        <v>1200</v>
      </c>
      <c r="S822" s="1">
        <f t="shared" si="280"/>
        <v>3200</v>
      </c>
      <c r="T822" s="1">
        <v>2.5</v>
      </c>
      <c r="U822" s="1" t="str">
        <f t="shared" si="281"/>
        <v>SIM</v>
      </c>
      <c r="V822" s="1">
        <f t="shared" si="282"/>
        <v>986</v>
      </c>
      <c r="W822" s="4">
        <f t="shared" si="283"/>
        <v>3.2454361054766734</v>
      </c>
      <c r="X822" s="4">
        <f t="shared" si="284"/>
        <v>1184.5841784989857</v>
      </c>
      <c r="Y822" s="4">
        <f t="shared" si="285"/>
        <v>1.480730223123732</v>
      </c>
      <c r="AB822" s="5">
        <f t="shared" si="286"/>
        <v>45292</v>
      </c>
      <c r="AC822" s="5">
        <f t="shared" si="287"/>
        <v>45657</v>
      </c>
      <c r="AD822" s="1">
        <v>1</v>
      </c>
      <c r="AE822" s="1">
        <f t="shared" si="288"/>
        <v>0</v>
      </c>
      <c r="AF822" s="1">
        <f t="shared" si="289"/>
        <v>0</v>
      </c>
      <c r="AG822" s="1">
        <f t="shared" si="290"/>
        <v>0</v>
      </c>
      <c r="AH822" s="1">
        <f t="shared" si="291"/>
        <v>0</v>
      </c>
      <c r="AI822" s="1">
        <f t="shared" si="292"/>
        <v>183</v>
      </c>
      <c r="AJ822" s="3">
        <f t="shared" si="293"/>
        <v>0.5</v>
      </c>
      <c r="AK822" s="3">
        <f t="shared" si="294"/>
        <v>0.74036511156186602</v>
      </c>
      <c r="AL822" s="3">
        <f t="shared" si="295"/>
        <v>0.37018255578093301</v>
      </c>
      <c r="AM822" s="3">
        <f t="shared" si="296"/>
        <v>0.92545638945233255</v>
      </c>
      <c r="AN822" s="3">
        <f t="shared" si="297"/>
        <v>0.46272819472616628</v>
      </c>
      <c r="AO822" s="3">
        <f t="shared" si="298"/>
        <v>1.3881845841784988</v>
      </c>
      <c r="AP822" s="1" t="str">
        <f>INDEX({"EAD";"EAD";"EAD";"EAD MOOC";"EAD";"EAD";"EAD FP";"EAD";"PRESENCIAL";"PRESENCIAL";"PRESENCIAL";"PRESENCIAL"}, MATCH(CONCATENATE(E822, ".", F822),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23" spans="1:42" x14ac:dyDescent="0.25">
      <c r="A823" s="1" t="s">
        <v>27</v>
      </c>
      <c r="B823" s="1" t="s">
        <v>46</v>
      </c>
      <c r="C823" s="1" t="s">
        <v>29</v>
      </c>
      <c r="D823" s="1" t="s">
        <v>47</v>
      </c>
      <c r="E823" s="1" t="s">
        <v>120</v>
      </c>
      <c r="F823" s="1" t="s">
        <v>21</v>
      </c>
      <c r="G823" s="1" t="s">
        <v>278</v>
      </c>
      <c r="H823" s="1" t="s">
        <v>405</v>
      </c>
      <c r="I823" s="1" t="s">
        <v>172</v>
      </c>
      <c r="J823" s="1" t="s">
        <v>125</v>
      </c>
      <c r="K823" s="1" t="s">
        <v>109</v>
      </c>
      <c r="L823" s="1">
        <v>2776569</v>
      </c>
      <c r="M823" s="1" t="s">
        <v>1002</v>
      </c>
      <c r="N823" s="5">
        <f>DATE(2021,5,1)</f>
        <v>44317</v>
      </c>
      <c r="O823" s="5">
        <f>DATE(2024,12,20)</f>
        <v>45646</v>
      </c>
      <c r="P823" s="5">
        <f t="shared" si="279"/>
        <v>46741</v>
      </c>
      <c r="Q823" s="1">
        <v>3405</v>
      </c>
      <c r="R823" s="1">
        <v>3200</v>
      </c>
      <c r="S823" s="1">
        <f t="shared" si="280"/>
        <v>3200</v>
      </c>
      <c r="T823" s="1">
        <v>2.5</v>
      </c>
      <c r="U823" s="1" t="str">
        <f t="shared" si="281"/>
        <v>SIM</v>
      </c>
      <c r="V823" s="1">
        <f t="shared" si="282"/>
        <v>1330</v>
      </c>
      <c r="W823" s="4">
        <f t="shared" si="283"/>
        <v>2.4060150375939848</v>
      </c>
      <c r="X823" s="4">
        <f t="shared" si="284"/>
        <v>878.19548872180451</v>
      </c>
      <c r="Y823" s="4">
        <f t="shared" si="285"/>
        <v>1.0977443609022557</v>
      </c>
      <c r="AB823" s="5">
        <f t="shared" si="286"/>
        <v>45292</v>
      </c>
      <c r="AC823" s="5">
        <f t="shared" si="287"/>
        <v>45657</v>
      </c>
      <c r="AD823" s="1">
        <v>15</v>
      </c>
      <c r="AE823" s="1">
        <f t="shared" si="288"/>
        <v>0</v>
      </c>
      <c r="AF823" s="1">
        <f t="shared" si="289"/>
        <v>0</v>
      </c>
      <c r="AG823" s="1">
        <f t="shared" si="290"/>
        <v>355</v>
      </c>
      <c r="AH823" s="1">
        <f t="shared" si="291"/>
        <v>0</v>
      </c>
      <c r="AI823" s="1">
        <f t="shared" si="292"/>
        <v>0</v>
      </c>
      <c r="AJ823" s="3">
        <f t="shared" si="293"/>
        <v>0.9699453551912568</v>
      </c>
      <c r="AK823" s="3">
        <f t="shared" si="294"/>
        <v>1.0647520440445375</v>
      </c>
      <c r="AL823" s="3">
        <f t="shared" si="295"/>
        <v>15.971280660668063</v>
      </c>
      <c r="AM823" s="3">
        <f t="shared" si="296"/>
        <v>39.928201651670157</v>
      </c>
      <c r="AN823" s="3">
        <f t="shared" si="297"/>
        <v>0</v>
      </c>
      <c r="AO823" s="3">
        <f t="shared" si="298"/>
        <v>39.928201651670157</v>
      </c>
      <c r="AP823" s="1" t="str">
        <f>INDEX({"EAD";"EAD";"EAD";"EAD MOOC";"EAD";"EAD";"EAD FP";"EAD";"PRESENCIAL";"PRESENCIAL";"PRESENCIAL";"PRESENCIAL"}, MATCH(CONCATENATE(E823, ".", F823),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24" spans="1:42" x14ac:dyDescent="0.25">
      <c r="A824" s="1" t="s">
        <v>27</v>
      </c>
      <c r="B824" s="1" t="s">
        <v>46</v>
      </c>
      <c r="C824" s="1" t="s">
        <v>29</v>
      </c>
      <c r="D824" s="1" t="s">
        <v>47</v>
      </c>
      <c r="E824" s="1" t="s">
        <v>120</v>
      </c>
      <c r="F824" s="1" t="s">
        <v>21</v>
      </c>
      <c r="G824" s="1" t="s">
        <v>128</v>
      </c>
      <c r="H824" s="1" t="s">
        <v>129</v>
      </c>
      <c r="I824" s="1" t="s">
        <v>124</v>
      </c>
      <c r="J824" s="1" t="s">
        <v>125</v>
      </c>
      <c r="K824" s="1" t="s">
        <v>130</v>
      </c>
      <c r="L824" s="1">
        <v>2840867</v>
      </c>
      <c r="M824" s="1" t="s">
        <v>1003</v>
      </c>
      <c r="N824" s="5">
        <f>DATE(2022,1,31)</f>
        <v>44592</v>
      </c>
      <c r="O824" s="5">
        <f>DATE(2024,12,23)</f>
        <v>45649</v>
      </c>
      <c r="P824" s="5">
        <f t="shared" si="279"/>
        <v>46744</v>
      </c>
      <c r="Q824" s="1">
        <v>3468</v>
      </c>
      <c r="R824" s="1">
        <v>800</v>
      </c>
      <c r="S824" s="1">
        <f t="shared" si="280"/>
        <v>3000</v>
      </c>
      <c r="T824" s="1">
        <v>1.5</v>
      </c>
      <c r="U824" s="1" t="str">
        <f t="shared" si="281"/>
        <v>SIM</v>
      </c>
      <c r="V824" s="1">
        <f t="shared" si="282"/>
        <v>1058</v>
      </c>
      <c r="W824" s="4">
        <f t="shared" si="283"/>
        <v>2.8355387523629489</v>
      </c>
      <c r="X824" s="4">
        <f t="shared" si="284"/>
        <v>1034.9716446124764</v>
      </c>
      <c r="Y824" s="4">
        <f t="shared" si="285"/>
        <v>1.2937145557655956</v>
      </c>
      <c r="AB824" s="5">
        <f t="shared" si="286"/>
        <v>45292</v>
      </c>
      <c r="AC824" s="5">
        <f t="shared" si="287"/>
        <v>45657</v>
      </c>
      <c r="AD824" s="1">
        <v>56</v>
      </c>
      <c r="AE824" s="1">
        <f t="shared" si="288"/>
        <v>0</v>
      </c>
      <c r="AF824" s="1">
        <f t="shared" si="289"/>
        <v>0</v>
      </c>
      <c r="AG824" s="1">
        <f t="shared" si="290"/>
        <v>358</v>
      </c>
      <c r="AH824" s="1">
        <f t="shared" si="291"/>
        <v>0</v>
      </c>
      <c r="AI824" s="1">
        <f t="shared" si="292"/>
        <v>0</v>
      </c>
      <c r="AJ824" s="3">
        <f t="shared" si="293"/>
        <v>0.97814207650273222</v>
      </c>
      <c r="AK824" s="3">
        <f t="shared" si="294"/>
        <v>1.2654366419783694</v>
      </c>
      <c r="AL824" s="3">
        <f t="shared" si="295"/>
        <v>70.864451950788691</v>
      </c>
      <c r="AM824" s="3">
        <f t="shared" si="296"/>
        <v>106.29667792618304</v>
      </c>
      <c r="AN824" s="3">
        <f t="shared" si="297"/>
        <v>0</v>
      </c>
      <c r="AO824" s="3">
        <f t="shared" si="298"/>
        <v>106.29667792618304</v>
      </c>
      <c r="AP824" s="1" t="str">
        <f>INDEX({"EAD";"EAD";"EAD";"EAD MOOC";"EAD";"EAD";"EAD FP";"EAD";"PRESENCIAL";"PRESENCIAL";"PRESENCIAL";"PRESENCIAL"}, MATCH(CONCATENATE(E824, ".", F824),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25" spans="1:42" x14ac:dyDescent="0.25">
      <c r="A825" s="1" t="s">
        <v>27</v>
      </c>
      <c r="B825" s="1" t="s">
        <v>46</v>
      </c>
      <c r="C825" s="1" t="s">
        <v>29</v>
      </c>
      <c r="D825" s="1" t="s">
        <v>47</v>
      </c>
      <c r="E825" s="1" t="s">
        <v>120</v>
      </c>
      <c r="F825" s="1" t="s">
        <v>21</v>
      </c>
      <c r="G825" s="1" t="s">
        <v>128</v>
      </c>
      <c r="H825" s="1" t="s">
        <v>470</v>
      </c>
      <c r="I825" s="1" t="s">
        <v>107</v>
      </c>
      <c r="J825" s="1" t="s">
        <v>108</v>
      </c>
      <c r="K825" s="1" t="s">
        <v>130</v>
      </c>
      <c r="L825" s="1">
        <v>2840872</v>
      </c>
      <c r="M825" s="1" t="s">
        <v>1004</v>
      </c>
      <c r="N825" s="5">
        <f>DATE(2022,1,31)</f>
        <v>44592</v>
      </c>
      <c r="O825" s="5">
        <f>DATE(2024,12,23)</f>
        <v>45649</v>
      </c>
      <c r="P825" s="5">
        <f t="shared" si="279"/>
        <v>46744</v>
      </c>
      <c r="Q825" s="1">
        <v>3792</v>
      </c>
      <c r="R825" s="1">
        <v>1200</v>
      </c>
      <c r="S825" s="1">
        <f t="shared" si="280"/>
        <v>3200</v>
      </c>
      <c r="T825" s="1">
        <v>2.5</v>
      </c>
      <c r="U825" s="1" t="str">
        <f t="shared" si="281"/>
        <v>SIM</v>
      </c>
      <c r="V825" s="1">
        <f t="shared" si="282"/>
        <v>1058</v>
      </c>
      <c r="W825" s="4">
        <f t="shared" si="283"/>
        <v>3.0245746691871456</v>
      </c>
      <c r="X825" s="4">
        <f t="shared" si="284"/>
        <v>1103.9697542533081</v>
      </c>
      <c r="Y825" s="4">
        <f t="shared" si="285"/>
        <v>1.3799621928166352</v>
      </c>
      <c r="AB825" s="5">
        <f t="shared" si="286"/>
        <v>45292</v>
      </c>
      <c r="AC825" s="5">
        <f t="shared" si="287"/>
        <v>45657</v>
      </c>
      <c r="AD825" s="1">
        <v>58</v>
      </c>
      <c r="AE825" s="1">
        <f t="shared" si="288"/>
        <v>0</v>
      </c>
      <c r="AF825" s="1">
        <f t="shared" si="289"/>
        <v>0</v>
      </c>
      <c r="AG825" s="1">
        <f t="shared" si="290"/>
        <v>358</v>
      </c>
      <c r="AH825" s="1">
        <f t="shared" si="291"/>
        <v>0</v>
      </c>
      <c r="AI825" s="1">
        <f t="shared" si="292"/>
        <v>0</v>
      </c>
      <c r="AJ825" s="3">
        <f t="shared" si="293"/>
        <v>0.97814207650273222</v>
      </c>
      <c r="AK825" s="3">
        <f t="shared" si="294"/>
        <v>1.3497990847769272</v>
      </c>
      <c r="AL825" s="3">
        <f t="shared" si="295"/>
        <v>78.288346917061773</v>
      </c>
      <c r="AM825" s="3">
        <f t="shared" si="296"/>
        <v>195.72086729265442</v>
      </c>
      <c r="AN825" s="3">
        <f t="shared" si="297"/>
        <v>97.860433646327209</v>
      </c>
      <c r="AO825" s="3">
        <f t="shared" si="298"/>
        <v>293.5813009389816</v>
      </c>
      <c r="AP825" s="1" t="str">
        <f>INDEX({"EAD";"EAD";"EAD";"EAD MOOC";"EAD";"EAD";"EAD FP";"EAD";"PRESENCIAL";"PRESENCIAL";"PRESENCIAL";"PRESENCIAL"}, MATCH(CONCATENATE(E825, ".", F825),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26" spans="1:42" x14ac:dyDescent="0.25">
      <c r="A826" s="1" t="s">
        <v>27</v>
      </c>
      <c r="B826" s="1" t="s">
        <v>46</v>
      </c>
      <c r="C826" s="1" t="s">
        <v>29</v>
      </c>
      <c r="D826" s="1" t="s">
        <v>47</v>
      </c>
      <c r="E826" s="1" t="s">
        <v>120</v>
      </c>
      <c r="F826" s="1" t="s">
        <v>21</v>
      </c>
      <c r="G826" s="1" t="s">
        <v>278</v>
      </c>
      <c r="H826" s="1" t="s">
        <v>405</v>
      </c>
      <c r="I826" s="1" t="s">
        <v>172</v>
      </c>
      <c r="J826" s="1" t="s">
        <v>125</v>
      </c>
      <c r="K826" s="1" t="s">
        <v>109</v>
      </c>
      <c r="L826" s="1">
        <v>2840875</v>
      </c>
      <c r="M826" s="1" t="s">
        <v>1005</v>
      </c>
      <c r="N826" s="5">
        <f>DATE(2022,1,31)</f>
        <v>44592</v>
      </c>
      <c r="O826" s="5">
        <f>DATE(2025,12,23)</f>
        <v>46014</v>
      </c>
      <c r="P826" s="5">
        <f t="shared" si="279"/>
        <v>47109</v>
      </c>
      <c r="Q826" s="1">
        <v>3405</v>
      </c>
      <c r="R826" s="1">
        <v>3200</v>
      </c>
      <c r="S826" s="1">
        <f t="shared" si="280"/>
        <v>3200</v>
      </c>
      <c r="T826" s="1">
        <v>2.5</v>
      </c>
      <c r="U826" s="1" t="str">
        <f t="shared" si="281"/>
        <v>SIM</v>
      </c>
      <c r="V826" s="1">
        <f t="shared" si="282"/>
        <v>1423</v>
      </c>
      <c r="W826" s="4">
        <f t="shared" si="283"/>
        <v>2.2487702037947996</v>
      </c>
      <c r="X826" s="4">
        <f t="shared" si="284"/>
        <v>820.80112438510184</v>
      </c>
      <c r="Y826" s="4">
        <f t="shared" si="285"/>
        <v>1.0260014054813773</v>
      </c>
      <c r="AB826" s="5">
        <f t="shared" si="286"/>
        <v>45292</v>
      </c>
      <c r="AC826" s="5">
        <f t="shared" si="287"/>
        <v>45657</v>
      </c>
      <c r="AD826" s="1">
        <v>17</v>
      </c>
      <c r="AE826" s="1">
        <f t="shared" si="288"/>
        <v>366</v>
      </c>
      <c r="AF826" s="1">
        <f t="shared" si="289"/>
        <v>0</v>
      </c>
      <c r="AG826" s="1">
        <f t="shared" si="290"/>
        <v>0</v>
      </c>
      <c r="AH826" s="1">
        <f t="shared" si="291"/>
        <v>0</v>
      </c>
      <c r="AI826" s="1">
        <f t="shared" si="292"/>
        <v>0</v>
      </c>
      <c r="AJ826" s="3">
        <f t="shared" si="293"/>
        <v>1</v>
      </c>
      <c r="AK826" s="3">
        <f t="shared" si="294"/>
        <v>1.0260014054813773</v>
      </c>
      <c r="AL826" s="3">
        <f t="shared" si="295"/>
        <v>17.442023893183414</v>
      </c>
      <c r="AM826" s="3">
        <f t="shared" si="296"/>
        <v>43.605059732958537</v>
      </c>
      <c r="AN826" s="3">
        <f t="shared" si="297"/>
        <v>0</v>
      </c>
      <c r="AO826" s="3">
        <f t="shared" si="298"/>
        <v>43.605059732958537</v>
      </c>
      <c r="AP826" s="1" t="str">
        <f>INDEX({"EAD";"EAD";"EAD";"EAD MOOC";"EAD";"EAD";"EAD FP";"EAD";"PRESENCIAL";"PRESENCIAL";"PRESENCIAL";"PRESENCIAL"}, MATCH(CONCATENATE(E826, ".", F826),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27" spans="1:42" x14ac:dyDescent="0.25">
      <c r="A827" s="1" t="s">
        <v>27</v>
      </c>
      <c r="B827" s="1" t="s">
        <v>46</v>
      </c>
      <c r="C827" s="1" t="s">
        <v>29</v>
      </c>
      <c r="D827" s="1" t="s">
        <v>47</v>
      </c>
      <c r="E827" s="1" t="s">
        <v>120</v>
      </c>
      <c r="F827" s="1" t="s">
        <v>21</v>
      </c>
      <c r="G827" s="1" t="s">
        <v>128</v>
      </c>
      <c r="H827" s="1" t="s">
        <v>129</v>
      </c>
      <c r="I827" s="1" t="s">
        <v>124</v>
      </c>
      <c r="J827" s="1" t="s">
        <v>125</v>
      </c>
      <c r="K827" s="1" t="s">
        <v>130</v>
      </c>
      <c r="L827" s="1">
        <v>2943435</v>
      </c>
      <c r="M827" s="1" t="s">
        <v>1006</v>
      </c>
      <c r="N827" s="5">
        <f>DATE(2023,1,30)</f>
        <v>44956</v>
      </c>
      <c r="O827" s="5">
        <f>DATE(2025,12,22)</f>
        <v>46013</v>
      </c>
      <c r="P827" s="5">
        <f t="shared" si="279"/>
        <v>47108</v>
      </c>
      <c r="Q827" s="1">
        <v>3468</v>
      </c>
      <c r="R827" s="1">
        <v>800</v>
      </c>
      <c r="S827" s="1">
        <f t="shared" si="280"/>
        <v>3000</v>
      </c>
      <c r="T827" s="1">
        <v>1.5</v>
      </c>
      <c r="U827" s="1" t="str">
        <f t="shared" si="281"/>
        <v>SIM</v>
      </c>
      <c r="V827" s="1">
        <f t="shared" si="282"/>
        <v>1058</v>
      </c>
      <c r="W827" s="4">
        <f t="shared" si="283"/>
        <v>2.8355387523629489</v>
      </c>
      <c r="X827" s="4">
        <f t="shared" si="284"/>
        <v>1034.9716446124764</v>
      </c>
      <c r="Y827" s="4">
        <f t="shared" si="285"/>
        <v>1.2937145557655956</v>
      </c>
      <c r="AB827" s="5">
        <f t="shared" si="286"/>
        <v>45292</v>
      </c>
      <c r="AC827" s="5">
        <f t="shared" si="287"/>
        <v>45657</v>
      </c>
      <c r="AD827" s="1">
        <v>62</v>
      </c>
      <c r="AE827" s="1">
        <f t="shared" si="288"/>
        <v>366</v>
      </c>
      <c r="AF827" s="1">
        <f t="shared" si="289"/>
        <v>0</v>
      </c>
      <c r="AG827" s="1">
        <f t="shared" si="290"/>
        <v>0</v>
      </c>
      <c r="AH827" s="1">
        <f t="shared" si="291"/>
        <v>0</v>
      </c>
      <c r="AI827" s="1">
        <f t="shared" si="292"/>
        <v>0</v>
      </c>
      <c r="AJ827" s="3">
        <f t="shared" si="293"/>
        <v>1</v>
      </c>
      <c r="AK827" s="3">
        <f t="shared" si="294"/>
        <v>1.2937145557655956</v>
      </c>
      <c r="AL827" s="3">
        <f t="shared" si="295"/>
        <v>80.210302457466923</v>
      </c>
      <c r="AM827" s="3">
        <f t="shared" si="296"/>
        <v>120.31545368620039</v>
      </c>
      <c r="AN827" s="3">
        <f t="shared" si="297"/>
        <v>0</v>
      </c>
      <c r="AO827" s="3">
        <f t="shared" si="298"/>
        <v>120.31545368620039</v>
      </c>
      <c r="AP827" s="1" t="str">
        <f>INDEX({"EAD";"EAD";"EAD";"EAD MOOC";"EAD";"EAD";"EAD FP";"EAD";"PRESENCIAL";"PRESENCIAL";"PRESENCIAL";"PRESENCIAL"}, MATCH(CONCATENATE(E827, ".", F827),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28" spans="1:42" x14ac:dyDescent="0.25">
      <c r="A828" s="1" t="s">
        <v>27</v>
      </c>
      <c r="B828" s="1" t="s">
        <v>46</v>
      </c>
      <c r="C828" s="1" t="s">
        <v>29</v>
      </c>
      <c r="D828" s="1" t="s">
        <v>47</v>
      </c>
      <c r="E828" s="1" t="s">
        <v>120</v>
      </c>
      <c r="F828" s="1" t="s">
        <v>21</v>
      </c>
      <c r="G828" s="1" t="s">
        <v>128</v>
      </c>
      <c r="H828" s="1" t="s">
        <v>470</v>
      </c>
      <c r="I828" s="1" t="s">
        <v>107</v>
      </c>
      <c r="J828" s="1" t="s">
        <v>108</v>
      </c>
      <c r="K828" s="1" t="s">
        <v>130</v>
      </c>
      <c r="L828" s="1">
        <v>2943439</v>
      </c>
      <c r="M828" s="1" t="s">
        <v>1007</v>
      </c>
      <c r="N828" s="5">
        <f>DATE(2023,1,30)</f>
        <v>44956</v>
      </c>
      <c r="O828" s="5">
        <f>DATE(2025,12,22)</f>
        <v>46013</v>
      </c>
      <c r="P828" s="5">
        <f t="shared" si="279"/>
        <v>47108</v>
      </c>
      <c r="Q828" s="1">
        <v>3792</v>
      </c>
      <c r="R828" s="1">
        <v>1200</v>
      </c>
      <c r="S828" s="1">
        <f t="shared" si="280"/>
        <v>3200</v>
      </c>
      <c r="T828" s="1">
        <v>2.5</v>
      </c>
      <c r="U828" s="1" t="str">
        <f t="shared" si="281"/>
        <v>SIM</v>
      </c>
      <c r="V828" s="1">
        <f t="shared" si="282"/>
        <v>1058</v>
      </c>
      <c r="W828" s="4">
        <f t="shared" si="283"/>
        <v>3.0245746691871456</v>
      </c>
      <c r="X828" s="4">
        <f t="shared" si="284"/>
        <v>1103.9697542533081</v>
      </c>
      <c r="Y828" s="4">
        <f t="shared" si="285"/>
        <v>1.3799621928166352</v>
      </c>
      <c r="AB828" s="5">
        <f t="shared" si="286"/>
        <v>45292</v>
      </c>
      <c r="AC828" s="5">
        <f t="shared" si="287"/>
        <v>45657</v>
      </c>
      <c r="AD828" s="1">
        <v>55</v>
      </c>
      <c r="AE828" s="1">
        <f t="shared" si="288"/>
        <v>366</v>
      </c>
      <c r="AF828" s="1">
        <f t="shared" si="289"/>
        <v>0</v>
      </c>
      <c r="AG828" s="1">
        <f t="shared" si="290"/>
        <v>0</v>
      </c>
      <c r="AH828" s="1">
        <f t="shared" si="291"/>
        <v>0</v>
      </c>
      <c r="AI828" s="1">
        <f t="shared" si="292"/>
        <v>0</v>
      </c>
      <c r="AJ828" s="3">
        <f t="shared" si="293"/>
        <v>1</v>
      </c>
      <c r="AK828" s="3">
        <f t="shared" si="294"/>
        <v>1.3799621928166352</v>
      </c>
      <c r="AL828" s="3">
        <f t="shared" si="295"/>
        <v>75.897920604914944</v>
      </c>
      <c r="AM828" s="3">
        <f t="shared" si="296"/>
        <v>189.74480151228735</v>
      </c>
      <c r="AN828" s="3">
        <f t="shared" si="297"/>
        <v>94.872400756143676</v>
      </c>
      <c r="AO828" s="3">
        <f t="shared" si="298"/>
        <v>284.61720226843101</v>
      </c>
      <c r="AP828" s="1" t="str">
        <f>INDEX({"EAD";"EAD";"EAD";"EAD MOOC";"EAD";"EAD";"EAD FP";"EAD";"PRESENCIAL";"PRESENCIAL";"PRESENCIAL";"PRESENCIAL"}, MATCH(CONCATENATE(E828, ".", F828),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29" spans="1:42" x14ac:dyDescent="0.25">
      <c r="A829" s="1" t="s">
        <v>27</v>
      </c>
      <c r="B829" s="1" t="s">
        <v>46</v>
      </c>
      <c r="C829" s="1" t="s">
        <v>29</v>
      </c>
      <c r="D829" s="1" t="s">
        <v>47</v>
      </c>
      <c r="E829" s="1" t="s">
        <v>170</v>
      </c>
      <c r="F829" s="1" t="s">
        <v>21</v>
      </c>
      <c r="G829" s="1" t="s">
        <v>128</v>
      </c>
      <c r="H829" s="1" t="s">
        <v>171</v>
      </c>
      <c r="I829" s="1" t="s">
        <v>172</v>
      </c>
      <c r="J829" s="1" t="s">
        <v>125</v>
      </c>
      <c r="K829" s="1" t="s">
        <v>163</v>
      </c>
      <c r="L829" s="1">
        <v>2957784</v>
      </c>
      <c r="M829" s="1" t="s">
        <v>300</v>
      </c>
      <c r="N829" s="5">
        <f>DATE(2023,4,3)</f>
        <v>45019</v>
      </c>
      <c r="O829" s="5">
        <f>DATE(2024,10,31)</f>
        <v>45596</v>
      </c>
      <c r="P829" s="5">
        <f t="shared" si="279"/>
        <v>46691</v>
      </c>
      <c r="Q829" s="1">
        <v>1200</v>
      </c>
      <c r="R829" s="1">
        <v>1200</v>
      </c>
      <c r="S829" s="1">
        <f t="shared" si="280"/>
        <v>1200</v>
      </c>
      <c r="T829" s="1">
        <v>2</v>
      </c>
      <c r="U829" s="1" t="str">
        <f t="shared" si="281"/>
        <v>SIM</v>
      </c>
      <c r="V829" s="1">
        <f t="shared" si="282"/>
        <v>578</v>
      </c>
      <c r="W829" s="4">
        <f t="shared" si="283"/>
        <v>2.0761245674740483</v>
      </c>
      <c r="X829" s="4">
        <f t="shared" si="284"/>
        <v>757.78546712802768</v>
      </c>
      <c r="Y829" s="4">
        <f t="shared" si="285"/>
        <v>0.94723183391003463</v>
      </c>
      <c r="AB829" s="5">
        <f t="shared" si="286"/>
        <v>45292</v>
      </c>
      <c r="AC829" s="5">
        <f t="shared" si="287"/>
        <v>45657</v>
      </c>
      <c r="AD829" s="1">
        <v>28</v>
      </c>
      <c r="AE829" s="1">
        <f t="shared" si="288"/>
        <v>0</v>
      </c>
      <c r="AF829" s="1">
        <f t="shared" si="289"/>
        <v>0</v>
      </c>
      <c r="AG829" s="1">
        <f t="shared" si="290"/>
        <v>305</v>
      </c>
      <c r="AH829" s="1">
        <f t="shared" si="291"/>
        <v>0</v>
      </c>
      <c r="AI829" s="1">
        <f t="shared" si="292"/>
        <v>0</v>
      </c>
      <c r="AJ829" s="3">
        <f t="shared" si="293"/>
        <v>0.83333333333333337</v>
      </c>
      <c r="AK829" s="3">
        <f t="shared" si="294"/>
        <v>0.78935986159169558</v>
      </c>
      <c r="AL829" s="3">
        <f t="shared" si="295"/>
        <v>22.102076124567475</v>
      </c>
      <c r="AM829" s="3">
        <f t="shared" si="296"/>
        <v>44.20415224913495</v>
      </c>
      <c r="AN829" s="3">
        <f t="shared" si="297"/>
        <v>0</v>
      </c>
      <c r="AO829" s="3">
        <f t="shared" si="298"/>
        <v>44.20415224913495</v>
      </c>
      <c r="AP829" s="1" t="str">
        <f>INDEX({"EAD";"EAD";"EAD";"EAD MOOC";"EAD";"EAD";"EAD FP";"EAD";"PRESENCIAL";"PRESENCIAL";"PRESENCIAL";"PRESENCIAL"}, MATCH(CONCATENATE(E829, ".", F829),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830" spans="1:42" x14ac:dyDescent="0.25">
      <c r="A830" s="1" t="s">
        <v>27</v>
      </c>
      <c r="B830" s="1" t="s">
        <v>46</v>
      </c>
      <c r="C830" s="1" t="s">
        <v>29</v>
      </c>
      <c r="D830" s="1" t="s">
        <v>47</v>
      </c>
      <c r="E830" s="1" t="s">
        <v>170</v>
      </c>
      <c r="F830" s="1" t="s">
        <v>21</v>
      </c>
      <c r="G830" s="1" t="s">
        <v>128</v>
      </c>
      <c r="H830" s="1" t="s">
        <v>171</v>
      </c>
      <c r="I830" s="1" t="s">
        <v>172</v>
      </c>
      <c r="J830" s="1" t="s">
        <v>125</v>
      </c>
      <c r="K830" s="1" t="s">
        <v>163</v>
      </c>
      <c r="L830" s="1">
        <v>2957785</v>
      </c>
      <c r="M830" s="1" t="s">
        <v>300</v>
      </c>
      <c r="N830" s="5">
        <f>DATE(2023,4,3)</f>
        <v>45019</v>
      </c>
      <c r="O830" s="5">
        <f>DATE(2024,10,31)</f>
        <v>45596</v>
      </c>
      <c r="P830" s="5">
        <f t="shared" si="279"/>
        <v>46691</v>
      </c>
      <c r="Q830" s="1">
        <v>1200</v>
      </c>
      <c r="R830" s="1">
        <v>1200</v>
      </c>
      <c r="S830" s="1">
        <f t="shared" si="280"/>
        <v>1200</v>
      </c>
      <c r="T830" s="1">
        <v>2</v>
      </c>
      <c r="U830" s="1" t="str">
        <f t="shared" si="281"/>
        <v>SIM</v>
      </c>
      <c r="V830" s="1">
        <f t="shared" si="282"/>
        <v>578</v>
      </c>
      <c r="W830" s="4">
        <f t="shared" si="283"/>
        <v>2.0761245674740483</v>
      </c>
      <c r="X830" s="4">
        <f t="shared" si="284"/>
        <v>757.78546712802768</v>
      </c>
      <c r="Y830" s="4">
        <f t="shared" si="285"/>
        <v>0.94723183391003463</v>
      </c>
      <c r="AB830" s="5">
        <f t="shared" si="286"/>
        <v>45292</v>
      </c>
      <c r="AC830" s="5">
        <f t="shared" si="287"/>
        <v>45657</v>
      </c>
      <c r="AD830" s="1">
        <v>26</v>
      </c>
      <c r="AE830" s="1">
        <f t="shared" si="288"/>
        <v>0</v>
      </c>
      <c r="AF830" s="1">
        <f t="shared" si="289"/>
        <v>0</v>
      </c>
      <c r="AG830" s="1">
        <f t="shared" si="290"/>
        <v>305</v>
      </c>
      <c r="AH830" s="1">
        <f t="shared" si="291"/>
        <v>0</v>
      </c>
      <c r="AI830" s="1">
        <f t="shared" si="292"/>
        <v>0</v>
      </c>
      <c r="AJ830" s="3">
        <f t="shared" si="293"/>
        <v>0.83333333333333337</v>
      </c>
      <c r="AK830" s="3">
        <f t="shared" si="294"/>
        <v>0.78935986159169558</v>
      </c>
      <c r="AL830" s="3">
        <f t="shared" si="295"/>
        <v>20.523356401384085</v>
      </c>
      <c r="AM830" s="3">
        <f t="shared" si="296"/>
        <v>41.04671280276817</v>
      </c>
      <c r="AN830" s="3">
        <f t="shared" si="297"/>
        <v>0</v>
      </c>
      <c r="AO830" s="3">
        <f t="shared" si="298"/>
        <v>41.04671280276817</v>
      </c>
      <c r="AP830" s="1" t="str">
        <f>INDEX({"EAD";"EAD";"EAD";"EAD MOOC";"EAD";"EAD";"EAD FP";"EAD";"PRESENCIAL";"PRESENCIAL";"PRESENCIAL";"PRESENCIAL"}, MATCH(CONCATENATE(E830, ".", F830),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831" spans="1:42" x14ac:dyDescent="0.25">
      <c r="A831" s="1" t="s">
        <v>27</v>
      </c>
      <c r="B831" s="1" t="s">
        <v>46</v>
      </c>
      <c r="C831" s="1" t="s">
        <v>29</v>
      </c>
      <c r="D831" s="1" t="s">
        <v>47</v>
      </c>
      <c r="E831" s="1" t="s">
        <v>170</v>
      </c>
      <c r="F831" s="1" t="s">
        <v>21</v>
      </c>
      <c r="G831" s="1" t="s">
        <v>128</v>
      </c>
      <c r="H831" s="1" t="s">
        <v>176</v>
      </c>
      <c r="I831" s="1" t="s">
        <v>172</v>
      </c>
      <c r="J831" s="1" t="s">
        <v>125</v>
      </c>
      <c r="K831" s="1" t="s">
        <v>163</v>
      </c>
      <c r="L831" s="1">
        <v>2957787</v>
      </c>
      <c r="M831" s="1" t="s">
        <v>302</v>
      </c>
      <c r="N831" s="5">
        <f>DATE(2023,4,3)</f>
        <v>45019</v>
      </c>
      <c r="O831" s="5">
        <f>DATE(2024,10,31)</f>
        <v>45596</v>
      </c>
      <c r="P831" s="5">
        <f t="shared" si="279"/>
        <v>46691</v>
      </c>
      <c r="Q831" s="1">
        <v>1200</v>
      </c>
      <c r="R831" s="1">
        <v>800</v>
      </c>
      <c r="S831" s="1">
        <f t="shared" si="280"/>
        <v>800</v>
      </c>
      <c r="T831" s="1">
        <v>1.5</v>
      </c>
      <c r="U831" s="1" t="str">
        <f t="shared" si="281"/>
        <v>SIM</v>
      </c>
      <c r="V831" s="1">
        <f t="shared" si="282"/>
        <v>578</v>
      </c>
      <c r="W831" s="4">
        <f t="shared" si="283"/>
        <v>1.3840830449826989</v>
      </c>
      <c r="X831" s="4">
        <f t="shared" si="284"/>
        <v>505.1903114186851</v>
      </c>
      <c r="Y831" s="4">
        <f t="shared" si="285"/>
        <v>0.63148788927335642</v>
      </c>
      <c r="AB831" s="5">
        <f t="shared" si="286"/>
        <v>45292</v>
      </c>
      <c r="AC831" s="5">
        <f t="shared" si="287"/>
        <v>45657</v>
      </c>
      <c r="AD831" s="1">
        <v>22</v>
      </c>
      <c r="AE831" s="1">
        <f t="shared" si="288"/>
        <v>0</v>
      </c>
      <c r="AF831" s="1">
        <f t="shared" si="289"/>
        <v>0</v>
      </c>
      <c r="AG831" s="1">
        <f t="shared" si="290"/>
        <v>305</v>
      </c>
      <c r="AH831" s="1">
        <f t="shared" si="291"/>
        <v>0</v>
      </c>
      <c r="AI831" s="1">
        <f t="shared" si="292"/>
        <v>0</v>
      </c>
      <c r="AJ831" s="3">
        <f t="shared" si="293"/>
        <v>0.83333333333333337</v>
      </c>
      <c r="AK831" s="3">
        <f t="shared" si="294"/>
        <v>0.52623990772779705</v>
      </c>
      <c r="AL831" s="3">
        <f t="shared" si="295"/>
        <v>11.577277970011535</v>
      </c>
      <c r="AM831" s="3">
        <f t="shared" si="296"/>
        <v>17.365916955017301</v>
      </c>
      <c r="AN831" s="3">
        <f t="shared" si="297"/>
        <v>0</v>
      </c>
      <c r="AO831" s="3">
        <f t="shared" si="298"/>
        <v>17.365916955017301</v>
      </c>
      <c r="AP831" s="1" t="str">
        <f>INDEX({"EAD";"EAD";"EAD";"EAD MOOC";"EAD";"EAD";"EAD FP";"EAD";"PRESENCIAL";"PRESENCIAL";"PRESENCIAL";"PRESENCIAL"}, MATCH(CONCATENATE(E831, ".", F831),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832" spans="1:42" x14ac:dyDescent="0.25">
      <c r="A832" s="1" t="s">
        <v>27</v>
      </c>
      <c r="B832" s="1" t="s">
        <v>46</v>
      </c>
      <c r="C832" s="1" t="s">
        <v>29</v>
      </c>
      <c r="D832" s="1" t="s">
        <v>47</v>
      </c>
      <c r="E832" s="1" t="s">
        <v>120</v>
      </c>
      <c r="F832" s="1" t="s">
        <v>447</v>
      </c>
      <c r="G832" s="1" t="s">
        <v>128</v>
      </c>
      <c r="H832" s="1" t="s">
        <v>129</v>
      </c>
      <c r="I832" s="1" t="s">
        <v>124</v>
      </c>
      <c r="J832" s="1" t="s">
        <v>125</v>
      </c>
      <c r="K832" s="1" t="s">
        <v>259</v>
      </c>
      <c r="L832" s="1">
        <v>3070052</v>
      </c>
      <c r="M832" s="1" t="s">
        <v>1008</v>
      </c>
      <c r="N832" s="5">
        <f>DATE(2023,9,19)</f>
        <v>45188</v>
      </c>
      <c r="O832" s="5">
        <f>DATE(2025,12,20)</f>
        <v>46011</v>
      </c>
      <c r="P832" s="5">
        <f t="shared" si="279"/>
        <v>47106</v>
      </c>
      <c r="Q832" s="1">
        <v>1080</v>
      </c>
      <c r="R832" s="1">
        <v>800</v>
      </c>
      <c r="S832" s="1">
        <f t="shared" si="280"/>
        <v>800</v>
      </c>
      <c r="T832" s="1">
        <v>1</v>
      </c>
      <c r="U832" s="1" t="str">
        <f t="shared" si="281"/>
        <v>SIM</v>
      </c>
      <c r="V832" s="1">
        <f t="shared" si="282"/>
        <v>824</v>
      </c>
      <c r="W832" s="4">
        <f t="shared" si="283"/>
        <v>0.970873786407767</v>
      </c>
      <c r="X832" s="4">
        <f t="shared" si="284"/>
        <v>354.36893203883494</v>
      </c>
      <c r="Y832" s="4">
        <f t="shared" si="285"/>
        <v>0.44296116504854366</v>
      </c>
      <c r="AB832" s="5">
        <f t="shared" si="286"/>
        <v>45292</v>
      </c>
      <c r="AC832" s="5">
        <f t="shared" si="287"/>
        <v>45657</v>
      </c>
      <c r="AD832" s="1">
        <v>35</v>
      </c>
      <c r="AE832" s="1">
        <f t="shared" si="288"/>
        <v>366</v>
      </c>
      <c r="AF832" s="1">
        <f t="shared" si="289"/>
        <v>0</v>
      </c>
      <c r="AG832" s="1">
        <f t="shared" si="290"/>
        <v>0</v>
      </c>
      <c r="AH832" s="1">
        <f t="shared" si="291"/>
        <v>0</v>
      </c>
      <c r="AI832" s="1">
        <f t="shared" si="292"/>
        <v>0</v>
      </c>
      <c r="AJ832" s="3">
        <f t="shared" si="293"/>
        <v>1</v>
      </c>
      <c r="AK832" s="3">
        <f t="shared" si="294"/>
        <v>0.44296116504854366</v>
      </c>
      <c r="AL832" s="3">
        <f t="shared" si="295"/>
        <v>15.503640776699028</v>
      </c>
      <c r="AM832" s="3">
        <f t="shared" si="296"/>
        <v>15.503640776699028</v>
      </c>
      <c r="AN832" s="3">
        <f t="shared" si="297"/>
        <v>0</v>
      </c>
      <c r="AO832" s="3">
        <f t="shared" si="298"/>
        <v>15.503640776699028</v>
      </c>
      <c r="AP832" s="1" t="str">
        <f>INDEX({"EAD";"EAD";"EAD";"EAD MOOC";"EAD";"EAD";"EAD FP";"EAD";"PRESENCIAL";"PRESENCIAL";"PRESENCIAL";"PRESENCIAL"}, MATCH(CONCATENATE(E832, ".", F832),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33" spans="1:42" x14ac:dyDescent="0.25">
      <c r="A833" s="1" t="s">
        <v>27</v>
      </c>
      <c r="B833" s="1" t="s">
        <v>46</v>
      </c>
      <c r="C833" s="1" t="s">
        <v>29</v>
      </c>
      <c r="D833" s="1" t="s">
        <v>47</v>
      </c>
      <c r="E833" s="1" t="s">
        <v>120</v>
      </c>
      <c r="F833" s="1" t="s">
        <v>21</v>
      </c>
      <c r="G833" s="1" t="s">
        <v>128</v>
      </c>
      <c r="H833" s="1" t="s">
        <v>470</v>
      </c>
      <c r="I833" s="1" t="s">
        <v>107</v>
      </c>
      <c r="J833" s="1" t="s">
        <v>108</v>
      </c>
      <c r="K833" s="1" t="s">
        <v>130</v>
      </c>
      <c r="L833" s="1">
        <v>3081140</v>
      </c>
      <c r="M833" s="1" t="s">
        <v>1009</v>
      </c>
      <c r="N833" s="5">
        <f>DATE(2024,2,5)</f>
        <v>45327</v>
      </c>
      <c r="O833" s="5">
        <f>DATE(2026,12,18)</f>
        <v>46374</v>
      </c>
      <c r="P833" s="5">
        <f t="shared" si="279"/>
        <v>47469</v>
      </c>
      <c r="Q833" s="1">
        <v>3230</v>
      </c>
      <c r="R833" s="1">
        <v>1200</v>
      </c>
      <c r="S833" s="1">
        <f t="shared" si="280"/>
        <v>3200</v>
      </c>
      <c r="T833" s="1">
        <v>2.5</v>
      </c>
      <c r="U833" s="1" t="str">
        <f t="shared" si="281"/>
        <v>SIM</v>
      </c>
      <c r="V833" s="1">
        <f t="shared" si="282"/>
        <v>1048</v>
      </c>
      <c r="W833" s="4">
        <f t="shared" si="283"/>
        <v>3.053435114503817</v>
      </c>
      <c r="X833" s="4">
        <f t="shared" si="284"/>
        <v>1114.5038167938933</v>
      </c>
      <c r="Y833" s="4">
        <f t="shared" si="285"/>
        <v>1.3931297709923667</v>
      </c>
      <c r="AB833" s="5">
        <f t="shared" si="286"/>
        <v>45292</v>
      </c>
      <c r="AC833" s="5">
        <f t="shared" si="287"/>
        <v>45657</v>
      </c>
      <c r="AD833" s="1">
        <v>62</v>
      </c>
      <c r="AE833" s="1">
        <f t="shared" si="288"/>
        <v>0</v>
      </c>
      <c r="AF833" s="1">
        <f t="shared" si="289"/>
        <v>331</v>
      </c>
      <c r="AG833" s="1">
        <f t="shared" si="290"/>
        <v>0</v>
      </c>
      <c r="AH833" s="1">
        <f t="shared" si="291"/>
        <v>0</v>
      </c>
      <c r="AI833" s="1">
        <f t="shared" si="292"/>
        <v>0</v>
      </c>
      <c r="AJ833" s="3">
        <f t="shared" si="293"/>
        <v>0.90437158469945356</v>
      </c>
      <c r="AK833" s="3">
        <f t="shared" si="294"/>
        <v>1.2599069786843535</v>
      </c>
      <c r="AL833" s="3">
        <f t="shared" si="295"/>
        <v>78.114232678429914</v>
      </c>
      <c r="AM833" s="3">
        <f t="shared" si="296"/>
        <v>195.28558169607479</v>
      </c>
      <c r="AN833" s="3">
        <f t="shared" si="297"/>
        <v>97.642790848037393</v>
      </c>
      <c r="AO833" s="3">
        <f t="shared" si="298"/>
        <v>292.92837254411216</v>
      </c>
      <c r="AP833" s="1" t="str">
        <f>INDEX({"EAD";"EAD";"EAD";"EAD MOOC";"EAD";"EAD";"EAD FP";"EAD";"PRESENCIAL";"PRESENCIAL";"PRESENCIAL";"PRESENCIAL"}, MATCH(CONCATENATE(E833, ".", F833),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34" spans="1:42" x14ac:dyDescent="0.25">
      <c r="A834" s="1" t="s">
        <v>27</v>
      </c>
      <c r="B834" s="1" t="s">
        <v>46</v>
      </c>
      <c r="C834" s="1" t="s">
        <v>29</v>
      </c>
      <c r="D834" s="1" t="s">
        <v>47</v>
      </c>
      <c r="E834" s="1" t="s">
        <v>120</v>
      </c>
      <c r="F834" s="1" t="s">
        <v>21</v>
      </c>
      <c r="G834" s="1" t="s">
        <v>128</v>
      </c>
      <c r="H834" s="1" t="s">
        <v>129</v>
      </c>
      <c r="I834" s="1" t="s">
        <v>124</v>
      </c>
      <c r="J834" s="1" t="s">
        <v>125</v>
      </c>
      <c r="K834" s="1" t="s">
        <v>130</v>
      </c>
      <c r="L834" s="1">
        <v>3081144</v>
      </c>
      <c r="M834" s="1" t="s">
        <v>1010</v>
      </c>
      <c r="N834" s="5">
        <f>DATE(2024,2,5)</f>
        <v>45327</v>
      </c>
      <c r="O834" s="5">
        <f>DATE(2026,12,18)</f>
        <v>46374</v>
      </c>
      <c r="P834" s="5">
        <f t="shared" si="279"/>
        <v>47469</v>
      </c>
      <c r="Q834" s="1">
        <v>3026</v>
      </c>
      <c r="R834" s="1">
        <v>800</v>
      </c>
      <c r="S834" s="1">
        <f t="shared" si="280"/>
        <v>3000</v>
      </c>
      <c r="T834" s="1">
        <v>1.5</v>
      </c>
      <c r="U834" s="1" t="str">
        <f t="shared" si="281"/>
        <v>SIM</v>
      </c>
      <c r="V834" s="1">
        <f t="shared" si="282"/>
        <v>1048</v>
      </c>
      <c r="W834" s="4">
        <f t="shared" si="283"/>
        <v>2.8625954198473282</v>
      </c>
      <c r="X834" s="4">
        <f t="shared" si="284"/>
        <v>1044.8473282442749</v>
      </c>
      <c r="Y834" s="4">
        <f t="shared" si="285"/>
        <v>1.3060591603053435</v>
      </c>
      <c r="AB834" s="5">
        <f t="shared" si="286"/>
        <v>45292</v>
      </c>
      <c r="AC834" s="5">
        <f t="shared" si="287"/>
        <v>45657</v>
      </c>
      <c r="AD834" s="1">
        <v>63</v>
      </c>
      <c r="AE834" s="1">
        <f t="shared" si="288"/>
        <v>0</v>
      </c>
      <c r="AF834" s="1">
        <f t="shared" si="289"/>
        <v>331</v>
      </c>
      <c r="AG834" s="1">
        <f t="shared" si="290"/>
        <v>0</v>
      </c>
      <c r="AH834" s="1">
        <f t="shared" si="291"/>
        <v>0</v>
      </c>
      <c r="AI834" s="1">
        <f t="shared" si="292"/>
        <v>0</v>
      </c>
      <c r="AJ834" s="3">
        <f t="shared" si="293"/>
        <v>0.90437158469945356</v>
      </c>
      <c r="AK834" s="3">
        <f t="shared" si="294"/>
        <v>1.1811627925165811</v>
      </c>
      <c r="AL834" s="3">
        <f t="shared" si="295"/>
        <v>74.413255928544601</v>
      </c>
      <c r="AM834" s="3">
        <f t="shared" si="296"/>
        <v>111.6198838928169</v>
      </c>
      <c r="AN834" s="3">
        <f t="shared" si="297"/>
        <v>0</v>
      </c>
      <c r="AO834" s="3">
        <f t="shared" si="298"/>
        <v>111.6198838928169</v>
      </c>
      <c r="AP834" s="1" t="str">
        <f>INDEX({"EAD";"EAD";"EAD";"EAD MOOC";"EAD";"EAD";"EAD FP";"EAD";"PRESENCIAL";"PRESENCIAL";"PRESENCIAL";"PRESENCIAL"}, MATCH(CONCATENATE(E834, ".", F834),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35" spans="1:42" x14ac:dyDescent="0.25">
      <c r="A835" s="1" t="s">
        <v>27</v>
      </c>
      <c r="B835" s="1" t="s">
        <v>46</v>
      </c>
      <c r="C835" s="1" t="s">
        <v>29</v>
      </c>
      <c r="D835" s="1" t="s">
        <v>47</v>
      </c>
      <c r="E835" s="1" t="s">
        <v>120</v>
      </c>
      <c r="F835" s="1" t="s">
        <v>21</v>
      </c>
      <c r="G835" s="1" t="s">
        <v>140</v>
      </c>
      <c r="H835" s="1" t="s">
        <v>1011</v>
      </c>
      <c r="I835" s="1" t="s">
        <v>107</v>
      </c>
      <c r="J835" s="1" t="s">
        <v>108</v>
      </c>
      <c r="K835" s="1" t="s">
        <v>109</v>
      </c>
      <c r="L835" s="1">
        <v>3115704</v>
      </c>
      <c r="M835" s="1" t="s">
        <v>1012</v>
      </c>
      <c r="N835" s="5">
        <f>DATE(2024,4,1)</f>
        <v>45383</v>
      </c>
      <c r="O835" s="5">
        <f>DATE(2026,7,31)</f>
        <v>46234</v>
      </c>
      <c r="P835" s="5">
        <f t="shared" si="279"/>
        <v>47329</v>
      </c>
      <c r="Q835" s="1">
        <v>2410</v>
      </c>
      <c r="R835" s="1">
        <v>2400</v>
      </c>
      <c r="S835" s="1">
        <f t="shared" si="280"/>
        <v>2400</v>
      </c>
      <c r="T835" s="1">
        <v>1.5</v>
      </c>
      <c r="U835" s="1" t="str">
        <f t="shared" si="281"/>
        <v>SIM</v>
      </c>
      <c r="V835" s="1">
        <f t="shared" si="282"/>
        <v>852</v>
      </c>
      <c r="W835" s="4">
        <f t="shared" si="283"/>
        <v>2.816901408450704</v>
      </c>
      <c r="X835" s="4">
        <f t="shared" si="284"/>
        <v>1028.1690140845069</v>
      </c>
      <c r="Y835" s="4">
        <f t="shared" si="285"/>
        <v>1.2852112676056335</v>
      </c>
      <c r="AB835" s="5">
        <f t="shared" si="286"/>
        <v>45292</v>
      </c>
      <c r="AC835" s="5">
        <f t="shared" si="287"/>
        <v>45657</v>
      </c>
      <c r="AD835" s="1">
        <v>35</v>
      </c>
      <c r="AE835" s="1">
        <f t="shared" si="288"/>
        <v>0</v>
      </c>
      <c r="AF835" s="1">
        <f t="shared" si="289"/>
        <v>275</v>
      </c>
      <c r="AG835" s="1">
        <f t="shared" si="290"/>
        <v>0</v>
      </c>
      <c r="AH835" s="1">
        <f t="shared" si="291"/>
        <v>0</v>
      </c>
      <c r="AI835" s="1">
        <f t="shared" si="292"/>
        <v>0</v>
      </c>
      <c r="AJ835" s="3">
        <f t="shared" si="293"/>
        <v>0.75136612021857918</v>
      </c>
      <c r="AK835" s="3">
        <f t="shared" si="294"/>
        <v>0.96566420380204698</v>
      </c>
      <c r="AL835" s="3">
        <f t="shared" si="295"/>
        <v>33.798247133071648</v>
      </c>
      <c r="AM835" s="3">
        <f t="shared" si="296"/>
        <v>50.697370699607475</v>
      </c>
      <c r="AN835" s="3">
        <f t="shared" si="297"/>
        <v>25.348685349803738</v>
      </c>
      <c r="AO835" s="3">
        <f t="shared" si="298"/>
        <v>76.04605604941122</v>
      </c>
      <c r="AP835" s="1" t="str">
        <f>INDEX({"EAD";"EAD";"EAD";"EAD MOOC";"EAD";"EAD";"EAD FP";"EAD";"PRESENCIAL";"PRESENCIAL";"PRESENCIAL";"PRESENCIAL"}, MATCH(CONCATENATE(E835, ".", F835),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36" spans="1:42" x14ac:dyDescent="0.25">
      <c r="A836" s="1" t="s">
        <v>27</v>
      </c>
      <c r="B836" s="1" t="s">
        <v>46</v>
      </c>
      <c r="C836" s="1" t="s">
        <v>29</v>
      </c>
      <c r="D836" s="1" t="s">
        <v>47</v>
      </c>
      <c r="E836" s="1" t="s">
        <v>120</v>
      </c>
      <c r="F836" s="1" t="s">
        <v>447</v>
      </c>
      <c r="G836" s="1" t="s">
        <v>128</v>
      </c>
      <c r="H836" s="1" t="s">
        <v>129</v>
      </c>
      <c r="I836" s="1" t="s">
        <v>124</v>
      </c>
      <c r="J836" s="1" t="s">
        <v>125</v>
      </c>
      <c r="K836" s="1" t="s">
        <v>259</v>
      </c>
      <c r="L836" s="1">
        <v>3120984</v>
      </c>
      <c r="M836" s="1" t="s">
        <v>1013</v>
      </c>
      <c r="N836" s="5">
        <f>DATE(2024,4,1)</f>
        <v>45383</v>
      </c>
      <c r="O836" s="5">
        <f>DATE(2026,12,21)</f>
        <v>46377</v>
      </c>
      <c r="P836" s="5">
        <f t="shared" ref="P836:P899" si="302">IF(G836="QUALIFICACAO PROFISSIONAL (FIC)",O836,O836+1095)</f>
        <v>47472</v>
      </c>
      <c r="Q836" s="1">
        <v>1080</v>
      </c>
      <c r="R836" s="1">
        <v>800</v>
      </c>
      <c r="S836" s="1">
        <f t="shared" ref="S836:S899" si="303">IF(OR(G836="QUALIFICACAO PROFISSIONAL (FIC)",G836="DOUTORADO"),Q836,    IF(ISNUMBER(FIND("PROEJA",K836)),2400,        IF(K836="INTEGRADO",            IF(R836=800,3000,                IF(R836=1000,3100,                    IF(R836=1200,3200,R836)                )            ),            R836        )    ))</f>
        <v>800</v>
      </c>
      <c r="T836" s="1">
        <v>1</v>
      </c>
      <c r="U836" s="1" t="str">
        <f t="shared" ref="U836:U899" si="304">IF(P836&lt;AB836,"NÃO","SIM")</f>
        <v>SIM</v>
      </c>
      <c r="V836" s="1">
        <f t="shared" ref="V836:V899" si="305">O836-N836+1</f>
        <v>995</v>
      </c>
      <c r="W836" s="4">
        <f t="shared" ref="W836:W899" si="306">IF(S836&gt;Q836,Q836,S836)/V836</f>
        <v>0.8040201005025126</v>
      </c>
      <c r="X836" s="4">
        <f t="shared" ref="X836:X899" si="307">IF(V836&gt;365,W836*365,S836)</f>
        <v>293.4673366834171</v>
      </c>
      <c r="Y836" s="4">
        <f t="shared" ref="Y836:Y899" si="308">IF(V836&gt;365,X836/800,S836/800)</f>
        <v>0.36683417085427139</v>
      </c>
      <c r="AB836" s="5">
        <f t="shared" ref="AB836:AB899" si="309">DATE(2024,1,1)</f>
        <v>45292</v>
      </c>
      <c r="AC836" s="5">
        <f t="shared" ref="AC836:AC899" si="310">DATE(2024,12,31)</f>
        <v>45657</v>
      </c>
      <c r="AD836" s="1">
        <v>35</v>
      </c>
      <c r="AE836" s="1">
        <f t="shared" ref="AE836:AE899" si="311">IF(AND(N836&lt;AB836,O836&gt;AC836),AC836-AB836+1,0)</f>
        <v>0</v>
      </c>
      <c r="AF836" s="1">
        <f t="shared" ref="AF836:AF899" si="312">IF(AND(N836&gt;=AB836,O836&gt;AC836,N836&lt;AC836),AC836-N836+1,0)</f>
        <v>275</v>
      </c>
      <c r="AG836" s="1">
        <f t="shared" ref="AG836:AG899" si="313">IF(AND(N836&lt;AB836,O836&lt;=AC836,O836&gt;=AB836),O836-AB836+1,0)</f>
        <v>0</v>
      </c>
      <c r="AH836" s="1">
        <f t="shared" ref="AH836:AH899" si="314">IF(AND(N836&gt;=AB836,O836&lt;=AC836),O836-N836+1,0)</f>
        <v>0</v>
      </c>
      <c r="AI836" s="1">
        <f t="shared" ref="AI836:AI899" si="315">IF(AND(N836&lt;AB836,O836&lt;AB836),(AC836-AB836+1)/2,0)</f>
        <v>0</v>
      </c>
      <c r="AJ836" s="3">
        <f t="shared" ref="AJ836:AJ899" si="316">SUM(AE836:AI836)/IF(V836&gt;=365,AC836-AB836+1,V836)</f>
        <v>0.75136612021857918</v>
      </c>
      <c r="AK836" s="3">
        <f t="shared" ref="AK836:AK899" si="317">Y836*AJ836</f>
        <v>0.2756267677183733</v>
      </c>
      <c r="AL836" s="3">
        <f t="shared" ref="AL836:AL899" si="318">IF(AI836=0,AK836*AD836,IF(U836="SIM",AK836*(AD836/2),0))</f>
        <v>9.6469368701430653</v>
      </c>
      <c r="AM836" s="3">
        <f t="shared" ref="AM836:AM899" si="319">AL836*T836</f>
        <v>9.6469368701430653</v>
      </c>
      <c r="AN836" s="3">
        <f t="shared" ref="AN836:AN899" si="320">IF(J836="SIM",AM836*50%,0)</f>
        <v>0</v>
      </c>
      <c r="AO836" s="3">
        <f t="shared" ref="AO836:AO899" si="321">IF(U836="SIM",AM836+AN836,0)</f>
        <v>9.6469368701430653</v>
      </c>
      <c r="AP836" s="1" t="str">
        <f>INDEX({"EAD";"EAD";"EAD";"EAD MOOC";"EAD";"EAD";"EAD FP";"EAD";"PRESENCIAL";"PRESENCIAL";"PRESENCIAL";"PRESENCIAL"}, MATCH(CONCATENATE(E836, ".", F836),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37" spans="1:42" x14ac:dyDescent="0.25">
      <c r="A837" s="1" t="s">
        <v>27</v>
      </c>
      <c r="B837" s="1" t="s">
        <v>48</v>
      </c>
      <c r="C837" s="1" t="s">
        <v>29</v>
      </c>
      <c r="D837" s="1" t="s">
        <v>49</v>
      </c>
      <c r="E837" s="1" t="s">
        <v>120</v>
      </c>
      <c r="F837" s="1" t="s">
        <v>21</v>
      </c>
      <c r="G837" s="1" t="s">
        <v>121</v>
      </c>
      <c r="H837" s="1" t="s">
        <v>106</v>
      </c>
      <c r="I837" s="1" t="s">
        <v>107</v>
      </c>
      <c r="J837" s="1" t="s">
        <v>108</v>
      </c>
      <c r="K837" s="1" t="s">
        <v>109</v>
      </c>
      <c r="L837" s="1">
        <v>2128651</v>
      </c>
      <c r="M837" s="1" t="s">
        <v>1014</v>
      </c>
      <c r="N837" s="5">
        <f>DATE(2017,2,5)</f>
        <v>42771</v>
      </c>
      <c r="O837" s="5">
        <f>DATE(2021,12,31)</f>
        <v>44561</v>
      </c>
      <c r="P837" s="5">
        <f t="shared" si="302"/>
        <v>45656</v>
      </c>
      <c r="Q837" s="1">
        <v>4213</v>
      </c>
      <c r="R837" s="1">
        <v>3600</v>
      </c>
      <c r="S837" s="1">
        <f t="shared" si="303"/>
        <v>3600</v>
      </c>
      <c r="T837" s="1">
        <v>2.5</v>
      </c>
      <c r="U837" s="1" t="str">
        <f t="shared" si="304"/>
        <v>SIM</v>
      </c>
      <c r="V837" s="1">
        <f t="shared" si="305"/>
        <v>1791</v>
      </c>
      <c r="W837" s="4">
        <f t="shared" si="306"/>
        <v>2.0100502512562812</v>
      </c>
      <c r="X837" s="4">
        <f t="shared" si="307"/>
        <v>733.6683417085427</v>
      </c>
      <c r="Y837" s="4">
        <f t="shared" si="308"/>
        <v>0.91708542713567842</v>
      </c>
      <c r="AB837" s="5">
        <f t="shared" si="309"/>
        <v>45292</v>
      </c>
      <c r="AC837" s="5">
        <f t="shared" si="310"/>
        <v>45657</v>
      </c>
      <c r="AD837" s="1">
        <v>7</v>
      </c>
      <c r="AE837" s="1">
        <f t="shared" si="311"/>
        <v>0</v>
      </c>
      <c r="AF837" s="1">
        <f t="shared" si="312"/>
        <v>0</v>
      </c>
      <c r="AG837" s="1">
        <f t="shared" si="313"/>
        <v>0</v>
      </c>
      <c r="AH837" s="1">
        <f t="shared" si="314"/>
        <v>0</v>
      </c>
      <c r="AI837" s="1">
        <f t="shared" si="315"/>
        <v>183</v>
      </c>
      <c r="AJ837" s="3">
        <f t="shared" si="316"/>
        <v>0.5</v>
      </c>
      <c r="AK837" s="3">
        <f t="shared" si="317"/>
        <v>0.45854271356783921</v>
      </c>
      <c r="AL837" s="3">
        <f t="shared" si="318"/>
        <v>1.6048994974874373</v>
      </c>
      <c r="AM837" s="3">
        <f t="shared" si="319"/>
        <v>4.012248743718593</v>
      </c>
      <c r="AN837" s="3">
        <f t="shared" si="320"/>
        <v>2.0061243718592965</v>
      </c>
      <c r="AO837" s="3">
        <f t="shared" si="321"/>
        <v>6.018373115577889</v>
      </c>
      <c r="AP837" s="1" t="str">
        <f>INDEX({"EAD";"EAD";"EAD";"EAD MOOC";"EAD";"EAD";"EAD FP";"EAD";"PRESENCIAL";"PRESENCIAL";"PRESENCIAL";"PRESENCIAL"}, MATCH(CONCATENATE(E837, ".", F837),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38" spans="1:42" x14ac:dyDescent="0.25">
      <c r="A838" s="1" t="s">
        <v>27</v>
      </c>
      <c r="B838" s="1" t="s">
        <v>48</v>
      </c>
      <c r="C838" s="1" t="s">
        <v>29</v>
      </c>
      <c r="D838" s="1" t="s">
        <v>49</v>
      </c>
      <c r="E838" s="1" t="s">
        <v>120</v>
      </c>
      <c r="F838" s="1" t="s">
        <v>21</v>
      </c>
      <c r="G838" s="1" t="s">
        <v>140</v>
      </c>
      <c r="H838" s="1" t="s">
        <v>325</v>
      </c>
      <c r="I838" s="1" t="s">
        <v>228</v>
      </c>
      <c r="J838" s="1" t="s">
        <v>108</v>
      </c>
      <c r="K838" s="1" t="s">
        <v>109</v>
      </c>
      <c r="L838" s="1">
        <v>2128655</v>
      </c>
      <c r="M838" s="1" t="s">
        <v>1015</v>
      </c>
      <c r="N838" s="5">
        <f>DATE(2017,2,5)</f>
        <v>42771</v>
      </c>
      <c r="O838" s="5">
        <f>DATE(2019,12,31)</f>
        <v>43830</v>
      </c>
      <c r="P838" s="5">
        <f t="shared" si="302"/>
        <v>44925</v>
      </c>
      <c r="Q838" s="1">
        <v>2406</v>
      </c>
      <c r="R838" s="1">
        <v>2400</v>
      </c>
      <c r="S838" s="1">
        <f t="shared" si="303"/>
        <v>2400</v>
      </c>
      <c r="T838" s="1">
        <v>2.5</v>
      </c>
      <c r="U838" s="1" t="str">
        <f t="shared" si="304"/>
        <v>NÃO</v>
      </c>
      <c r="V838" s="1">
        <f t="shared" si="305"/>
        <v>1060</v>
      </c>
      <c r="W838" s="4">
        <f t="shared" si="306"/>
        <v>2.2641509433962264</v>
      </c>
      <c r="X838" s="4">
        <f t="shared" si="307"/>
        <v>826.41509433962267</v>
      </c>
      <c r="Y838" s="4">
        <f t="shared" si="308"/>
        <v>1.0330188679245282</v>
      </c>
      <c r="AB838" s="5">
        <f t="shared" si="309"/>
        <v>45292</v>
      </c>
      <c r="AC838" s="5">
        <f t="shared" si="310"/>
        <v>45657</v>
      </c>
      <c r="AD838" s="1">
        <v>5</v>
      </c>
      <c r="AE838" s="1">
        <f t="shared" si="311"/>
        <v>0</v>
      </c>
      <c r="AF838" s="1">
        <f t="shared" si="312"/>
        <v>0</v>
      </c>
      <c r="AG838" s="1">
        <f t="shared" si="313"/>
        <v>0</v>
      </c>
      <c r="AH838" s="1">
        <f t="shared" si="314"/>
        <v>0</v>
      </c>
      <c r="AI838" s="1">
        <f t="shared" si="315"/>
        <v>183</v>
      </c>
      <c r="AJ838" s="3">
        <f t="shared" si="316"/>
        <v>0.5</v>
      </c>
      <c r="AK838" s="3">
        <f t="shared" si="317"/>
        <v>0.51650943396226412</v>
      </c>
      <c r="AL838" s="3">
        <f t="shared" si="318"/>
        <v>0</v>
      </c>
      <c r="AM838" s="3">
        <f t="shared" si="319"/>
        <v>0</v>
      </c>
      <c r="AN838" s="3">
        <f t="shared" si="320"/>
        <v>0</v>
      </c>
      <c r="AO838" s="3">
        <f t="shared" si="321"/>
        <v>0</v>
      </c>
      <c r="AP838" s="1" t="str">
        <f>INDEX({"EAD";"EAD";"EAD";"EAD MOOC";"EAD";"EAD";"EAD FP";"EAD";"PRESENCIAL";"PRESENCIAL";"PRESENCIAL";"PRESENCIAL"}, MATCH(CONCATENATE(E838, ".", F838),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39" spans="1:42" x14ac:dyDescent="0.25">
      <c r="A839" s="1" t="s">
        <v>27</v>
      </c>
      <c r="B839" s="1" t="s">
        <v>48</v>
      </c>
      <c r="C839" s="1" t="s">
        <v>29</v>
      </c>
      <c r="D839" s="1" t="s">
        <v>49</v>
      </c>
      <c r="E839" s="1" t="s">
        <v>120</v>
      </c>
      <c r="F839" s="1" t="s">
        <v>21</v>
      </c>
      <c r="G839" s="1" t="s">
        <v>121</v>
      </c>
      <c r="H839" s="1" t="s">
        <v>106</v>
      </c>
      <c r="I839" s="1" t="s">
        <v>107</v>
      </c>
      <c r="J839" s="1" t="s">
        <v>108</v>
      </c>
      <c r="K839" s="1" t="s">
        <v>109</v>
      </c>
      <c r="L839" s="1">
        <v>2496209</v>
      </c>
      <c r="M839" s="1" t="s">
        <v>1016</v>
      </c>
      <c r="N839" s="5">
        <f>DATE(2018,2,19)</f>
        <v>43150</v>
      </c>
      <c r="O839" s="5">
        <f>DATE(2022,12,31)</f>
        <v>44926</v>
      </c>
      <c r="P839" s="5">
        <f t="shared" si="302"/>
        <v>46021</v>
      </c>
      <c r="Q839" s="1">
        <v>4213</v>
      </c>
      <c r="R839" s="1">
        <v>3600</v>
      </c>
      <c r="S839" s="1">
        <f t="shared" si="303"/>
        <v>3600</v>
      </c>
      <c r="T839" s="1">
        <v>2.5</v>
      </c>
      <c r="U839" s="1" t="str">
        <f t="shared" si="304"/>
        <v>SIM</v>
      </c>
      <c r="V839" s="1">
        <f t="shared" si="305"/>
        <v>1777</v>
      </c>
      <c r="W839" s="4">
        <f t="shared" si="306"/>
        <v>2.0258863252673045</v>
      </c>
      <c r="X839" s="4">
        <f t="shared" si="307"/>
        <v>739.44850872256609</v>
      </c>
      <c r="Y839" s="4">
        <f t="shared" si="308"/>
        <v>0.92431063590320761</v>
      </c>
      <c r="AB839" s="5">
        <f t="shared" si="309"/>
        <v>45292</v>
      </c>
      <c r="AC839" s="5">
        <f t="shared" si="310"/>
        <v>45657</v>
      </c>
      <c r="AD839" s="1">
        <v>15</v>
      </c>
      <c r="AE839" s="1">
        <f t="shared" si="311"/>
        <v>0</v>
      </c>
      <c r="AF839" s="1">
        <f t="shared" si="312"/>
        <v>0</v>
      </c>
      <c r="AG839" s="1">
        <f t="shared" si="313"/>
        <v>0</v>
      </c>
      <c r="AH839" s="1">
        <f t="shared" si="314"/>
        <v>0</v>
      </c>
      <c r="AI839" s="1">
        <f t="shared" si="315"/>
        <v>183</v>
      </c>
      <c r="AJ839" s="3">
        <f t="shared" si="316"/>
        <v>0.5</v>
      </c>
      <c r="AK839" s="3">
        <f t="shared" si="317"/>
        <v>0.46215531795160381</v>
      </c>
      <c r="AL839" s="3">
        <f t="shared" si="318"/>
        <v>3.4661648846370285</v>
      </c>
      <c r="AM839" s="3">
        <f t="shared" si="319"/>
        <v>8.6654122115925709</v>
      </c>
      <c r="AN839" s="3">
        <f t="shared" si="320"/>
        <v>4.3327061057962855</v>
      </c>
      <c r="AO839" s="3">
        <f t="shared" si="321"/>
        <v>12.998118317388856</v>
      </c>
      <c r="AP839" s="1" t="str">
        <f>INDEX({"EAD";"EAD";"EAD";"EAD MOOC";"EAD";"EAD";"EAD FP";"EAD";"PRESENCIAL";"PRESENCIAL";"PRESENCIAL";"PRESENCIAL"}, MATCH(CONCATENATE(E839, ".", F839),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40" spans="1:42" x14ac:dyDescent="0.25">
      <c r="A840" s="1" t="s">
        <v>27</v>
      </c>
      <c r="B840" s="1" t="s">
        <v>48</v>
      </c>
      <c r="C840" s="1" t="s">
        <v>29</v>
      </c>
      <c r="D840" s="1" t="s">
        <v>49</v>
      </c>
      <c r="E840" s="1" t="s">
        <v>120</v>
      </c>
      <c r="F840" s="1" t="s">
        <v>21</v>
      </c>
      <c r="G840" s="1" t="s">
        <v>278</v>
      </c>
      <c r="H840" s="1" t="s">
        <v>1017</v>
      </c>
      <c r="I840" s="1" t="s">
        <v>172</v>
      </c>
      <c r="J840" s="1" t="s">
        <v>125</v>
      </c>
      <c r="K840" s="1" t="s">
        <v>109</v>
      </c>
      <c r="L840" s="1">
        <v>2496277</v>
      </c>
      <c r="M840" s="1" t="s">
        <v>1018</v>
      </c>
      <c r="N840" s="5">
        <f>DATE(2018,2,19)</f>
        <v>43150</v>
      </c>
      <c r="O840" s="5">
        <f>DATE(2021,12,31)</f>
        <v>44561</v>
      </c>
      <c r="P840" s="5">
        <f t="shared" si="302"/>
        <v>45656</v>
      </c>
      <c r="Q840" s="1">
        <v>3212</v>
      </c>
      <c r="R840" s="1">
        <v>3200</v>
      </c>
      <c r="S840" s="1">
        <f t="shared" si="303"/>
        <v>3200</v>
      </c>
      <c r="T840" s="1">
        <v>2.5</v>
      </c>
      <c r="U840" s="1" t="str">
        <f t="shared" si="304"/>
        <v>SIM</v>
      </c>
      <c r="V840" s="1">
        <f t="shared" si="305"/>
        <v>1412</v>
      </c>
      <c r="W840" s="4">
        <f t="shared" si="306"/>
        <v>2.2662889518413598</v>
      </c>
      <c r="X840" s="4">
        <f t="shared" si="307"/>
        <v>827.19546742209639</v>
      </c>
      <c r="Y840" s="4">
        <f t="shared" si="308"/>
        <v>1.0339943342776206</v>
      </c>
      <c r="AB840" s="5">
        <f t="shared" si="309"/>
        <v>45292</v>
      </c>
      <c r="AC840" s="5">
        <f t="shared" si="310"/>
        <v>45657</v>
      </c>
      <c r="AD840" s="1">
        <v>9</v>
      </c>
      <c r="AE840" s="1">
        <f t="shared" si="311"/>
        <v>0</v>
      </c>
      <c r="AF840" s="1">
        <f t="shared" si="312"/>
        <v>0</v>
      </c>
      <c r="AG840" s="1">
        <f t="shared" si="313"/>
        <v>0</v>
      </c>
      <c r="AH840" s="1">
        <f t="shared" si="314"/>
        <v>0</v>
      </c>
      <c r="AI840" s="1">
        <f t="shared" si="315"/>
        <v>183</v>
      </c>
      <c r="AJ840" s="3">
        <f t="shared" si="316"/>
        <v>0.5</v>
      </c>
      <c r="AK840" s="3">
        <f t="shared" si="317"/>
        <v>0.51699716713881028</v>
      </c>
      <c r="AL840" s="3">
        <f t="shared" si="318"/>
        <v>2.3264872521246462</v>
      </c>
      <c r="AM840" s="3">
        <f t="shared" si="319"/>
        <v>5.8162181303116158</v>
      </c>
      <c r="AN840" s="3">
        <f t="shared" si="320"/>
        <v>0</v>
      </c>
      <c r="AO840" s="3">
        <f t="shared" si="321"/>
        <v>5.8162181303116158</v>
      </c>
      <c r="AP840" s="1" t="str">
        <f>INDEX({"EAD";"EAD";"EAD";"EAD MOOC";"EAD";"EAD";"EAD FP";"EAD";"PRESENCIAL";"PRESENCIAL";"PRESENCIAL";"PRESENCIAL"}, MATCH(CONCATENATE(E840, ".", F840),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41" spans="1:42" x14ac:dyDescent="0.25">
      <c r="A841" s="1" t="s">
        <v>27</v>
      </c>
      <c r="B841" s="1" t="s">
        <v>48</v>
      </c>
      <c r="C841" s="1" t="s">
        <v>29</v>
      </c>
      <c r="D841" s="1" t="s">
        <v>49</v>
      </c>
      <c r="E841" s="1" t="s">
        <v>120</v>
      </c>
      <c r="F841" s="1" t="s">
        <v>21</v>
      </c>
      <c r="G841" s="1" t="s">
        <v>140</v>
      </c>
      <c r="H841" s="1" t="s">
        <v>325</v>
      </c>
      <c r="I841" s="1" t="s">
        <v>228</v>
      </c>
      <c r="J841" s="1" t="s">
        <v>108</v>
      </c>
      <c r="K841" s="1" t="s">
        <v>109</v>
      </c>
      <c r="L841" s="1">
        <v>2496330</v>
      </c>
      <c r="M841" s="1" t="s">
        <v>1019</v>
      </c>
      <c r="N841" s="5">
        <f>DATE(2018,2,19)</f>
        <v>43150</v>
      </c>
      <c r="O841" s="5">
        <f>DATE(2020,12,31)</f>
        <v>44196</v>
      </c>
      <c r="P841" s="5">
        <f t="shared" si="302"/>
        <v>45291</v>
      </c>
      <c r="Q841" s="1">
        <v>2406</v>
      </c>
      <c r="R841" s="1">
        <v>2400</v>
      </c>
      <c r="S841" s="1">
        <f t="shared" si="303"/>
        <v>2400</v>
      </c>
      <c r="T841" s="1">
        <v>2.5</v>
      </c>
      <c r="U841" s="1" t="str">
        <f t="shared" si="304"/>
        <v>NÃO</v>
      </c>
      <c r="V841" s="1">
        <f t="shared" si="305"/>
        <v>1047</v>
      </c>
      <c r="W841" s="4">
        <f t="shared" si="306"/>
        <v>2.2922636103151861</v>
      </c>
      <c r="X841" s="4">
        <f t="shared" si="307"/>
        <v>836.67621776504291</v>
      </c>
      <c r="Y841" s="4">
        <f t="shared" si="308"/>
        <v>1.0458452722063036</v>
      </c>
      <c r="AB841" s="5">
        <f t="shared" si="309"/>
        <v>45292</v>
      </c>
      <c r="AC841" s="5">
        <f t="shared" si="310"/>
        <v>45657</v>
      </c>
      <c r="AD841" s="1">
        <v>3</v>
      </c>
      <c r="AE841" s="1">
        <f t="shared" si="311"/>
        <v>0</v>
      </c>
      <c r="AF841" s="1">
        <f t="shared" si="312"/>
        <v>0</v>
      </c>
      <c r="AG841" s="1">
        <f t="shared" si="313"/>
        <v>0</v>
      </c>
      <c r="AH841" s="1">
        <f t="shared" si="314"/>
        <v>0</v>
      </c>
      <c r="AI841" s="1">
        <f t="shared" si="315"/>
        <v>183</v>
      </c>
      <c r="AJ841" s="3">
        <f t="shared" si="316"/>
        <v>0.5</v>
      </c>
      <c r="AK841" s="3">
        <f t="shared" si="317"/>
        <v>0.52292263610315182</v>
      </c>
      <c r="AL841" s="3">
        <f t="shared" si="318"/>
        <v>0</v>
      </c>
      <c r="AM841" s="3">
        <f t="shared" si="319"/>
        <v>0</v>
      </c>
      <c r="AN841" s="3">
        <f t="shared" si="320"/>
        <v>0</v>
      </c>
      <c r="AO841" s="3">
        <f t="shared" si="321"/>
        <v>0</v>
      </c>
      <c r="AP841" s="1" t="str">
        <f>INDEX({"EAD";"EAD";"EAD";"EAD MOOC";"EAD";"EAD";"EAD FP";"EAD";"PRESENCIAL";"PRESENCIAL";"PRESENCIAL";"PRESENCIAL"}, MATCH(CONCATENATE(E841, ".", F841),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42" spans="1:42" x14ac:dyDescent="0.25">
      <c r="A842" s="1" t="s">
        <v>27</v>
      </c>
      <c r="B842" s="1" t="s">
        <v>48</v>
      </c>
      <c r="C842" s="1" t="s">
        <v>29</v>
      </c>
      <c r="D842" s="1" t="s">
        <v>49</v>
      </c>
      <c r="E842" s="1" t="s">
        <v>120</v>
      </c>
      <c r="F842" s="1" t="s">
        <v>21</v>
      </c>
      <c r="G842" s="1" t="s">
        <v>128</v>
      </c>
      <c r="H842" s="1" t="s">
        <v>132</v>
      </c>
      <c r="I842" s="1" t="s">
        <v>107</v>
      </c>
      <c r="J842" s="1" t="s">
        <v>108</v>
      </c>
      <c r="K842" s="1" t="s">
        <v>130</v>
      </c>
      <c r="L842" s="1">
        <v>2571274</v>
      </c>
      <c r="M842" s="1" t="s">
        <v>417</v>
      </c>
      <c r="N842" s="5">
        <f>DATE(2019,2,4)</f>
        <v>43500</v>
      </c>
      <c r="O842" s="5">
        <f>DATE(2021,12,31)</f>
        <v>44561</v>
      </c>
      <c r="P842" s="5">
        <f t="shared" si="302"/>
        <v>45656</v>
      </c>
      <c r="Q842" s="1">
        <v>3826</v>
      </c>
      <c r="R842" s="1">
        <v>1200</v>
      </c>
      <c r="S842" s="1">
        <f t="shared" si="303"/>
        <v>3200</v>
      </c>
      <c r="T842" s="1">
        <v>2.5</v>
      </c>
      <c r="U842" s="1" t="str">
        <f t="shared" si="304"/>
        <v>SIM</v>
      </c>
      <c r="V842" s="1">
        <f t="shared" si="305"/>
        <v>1062</v>
      </c>
      <c r="W842" s="4">
        <f t="shared" si="306"/>
        <v>3.0131826741996233</v>
      </c>
      <c r="X842" s="4">
        <f t="shared" si="307"/>
        <v>1099.8116760828625</v>
      </c>
      <c r="Y842" s="4">
        <f t="shared" si="308"/>
        <v>1.3747645951035781</v>
      </c>
      <c r="AB842" s="5">
        <f t="shared" si="309"/>
        <v>45292</v>
      </c>
      <c r="AC842" s="5">
        <f t="shared" si="310"/>
        <v>45657</v>
      </c>
      <c r="AD842" s="1">
        <v>3</v>
      </c>
      <c r="AE842" s="1">
        <f t="shared" si="311"/>
        <v>0</v>
      </c>
      <c r="AF842" s="1">
        <f t="shared" si="312"/>
        <v>0</v>
      </c>
      <c r="AG842" s="1">
        <f t="shared" si="313"/>
        <v>0</v>
      </c>
      <c r="AH842" s="1">
        <f t="shared" si="314"/>
        <v>0</v>
      </c>
      <c r="AI842" s="1">
        <f t="shared" si="315"/>
        <v>183</v>
      </c>
      <c r="AJ842" s="3">
        <f t="shared" si="316"/>
        <v>0.5</v>
      </c>
      <c r="AK842" s="3">
        <f t="shared" si="317"/>
        <v>0.68738229755178903</v>
      </c>
      <c r="AL842" s="3">
        <f t="shared" si="318"/>
        <v>1.0310734463276836</v>
      </c>
      <c r="AM842" s="3">
        <f t="shared" si="319"/>
        <v>2.5776836158192089</v>
      </c>
      <c r="AN842" s="3">
        <f t="shared" si="320"/>
        <v>1.2888418079096045</v>
      </c>
      <c r="AO842" s="3">
        <f t="shared" si="321"/>
        <v>3.8665254237288131</v>
      </c>
      <c r="AP842" s="1" t="str">
        <f>INDEX({"EAD";"EAD";"EAD";"EAD MOOC";"EAD";"EAD";"EAD FP";"EAD";"PRESENCIAL";"PRESENCIAL";"PRESENCIAL";"PRESENCIAL"}, MATCH(CONCATENATE(E842, ".", F842),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43" spans="1:42" x14ac:dyDescent="0.25">
      <c r="A843" s="1" t="s">
        <v>27</v>
      </c>
      <c r="B843" s="1" t="s">
        <v>48</v>
      </c>
      <c r="C843" s="1" t="s">
        <v>29</v>
      </c>
      <c r="D843" s="1" t="s">
        <v>49</v>
      </c>
      <c r="E843" s="1" t="s">
        <v>120</v>
      </c>
      <c r="F843" s="1" t="s">
        <v>21</v>
      </c>
      <c r="G843" s="1" t="s">
        <v>278</v>
      </c>
      <c r="H843" s="1" t="s">
        <v>1017</v>
      </c>
      <c r="I843" s="1" t="s">
        <v>172</v>
      </c>
      <c r="J843" s="1" t="s">
        <v>125</v>
      </c>
      <c r="K843" s="1" t="s">
        <v>109</v>
      </c>
      <c r="L843" s="1">
        <v>2571275</v>
      </c>
      <c r="M843" s="1" t="s">
        <v>1020</v>
      </c>
      <c r="N843" s="5">
        <f>DATE(2019,2,4)</f>
        <v>43500</v>
      </c>
      <c r="O843" s="5">
        <f>DATE(2022,12,31)</f>
        <v>44926</v>
      </c>
      <c r="P843" s="5">
        <f t="shared" si="302"/>
        <v>46021</v>
      </c>
      <c r="Q843" s="1">
        <v>3212</v>
      </c>
      <c r="R843" s="1">
        <v>3200</v>
      </c>
      <c r="S843" s="1">
        <f t="shared" si="303"/>
        <v>3200</v>
      </c>
      <c r="T843" s="1">
        <v>2.5</v>
      </c>
      <c r="U843" s="1" t="str">
        <f t="shared" si="304"/>
        <v>SIM</v>
      </c>
      <c r="V843" s="1">
        <f t="shared" si="305"/>
        <v>1427</v>
      </c>
      <c r="W843" s="4">
        <f t="shared" si="306"/>
        <v>2.2424667133847231</v>
      </c>
      <c r="X843" s="4">
        <f t="shared" si="307"/>
        <v>818.50035038542399</v>
      </c>
      <c r="Y843" s="4">
        <f t="shared" si="308"/>
        <v>1.02312543798178</v>
      </c>
      <c r="AB843" s="5">
        <f t="shared" si="309"/>
        <v>45292</v>
      </c>
      <c r="AC843" s="5">
        <f t="shared" si="310"/>
        <v>45657</v>
      </c>
      <c r="AD843" s="1">
        <v>15</v>
      </c>
      <c r="AE843" s="1">
        <f t="shared" si="311"/>
        <v>0</v>
      </c>
      <c r="AF843" s="1">
        <f t="shared" si="312"/>
        <v>0</v>
      </c>
      <c r="AG843" s="1">
        <f t="shared" si="313"/>
        <v>0</v>
      </c>
      <c r="AH843" s="1">
        <f t="shared" si="314"/>
        <v>0</v>
      </c>
      <c r="AI843" s="1">
        <f t="shared" si="315"/>
        <v>183</v>
      </c>
      <c r="AJ843" s="3">
        <f t="shared" si="316"/>
        <v>0.5</v>
      </c>
      <c r="AK843" s="3">
        <f t="shared" si="317"/>
        <v>0.51156271899089001</v>
      </c>
      <c r="AL843" s="3">
        <f t="shared" si="318"/>
        <v>3.8367203924316753</v>
      </c>
      <c r="AM843" s="3">
        <f t="shared" si="319"/>
        <v>9.5918009810791887</v>
      </c>
      <c r="AN843" s="3">
        <f t="shared" si="320"/>
        <v>0</v>
      </c>
      <c r="AO843" s="3">
        <f t="shared" si="321"/>
        <v>9.5918009810791887</v>
      </c>
      <c r="AP843" s="1" t="str">
        <f>INDEX({"EAD";"EAD";"EAD";"EAD MOOC";"EAD";"EAD";"EAD FP";"EAD";"PRESENCIAL";"PRESENCIAL";"PRESENCIAL";"PRESENCIAL"}, MATCH(CONCATENATE(E843, ".", F843),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44" spans="1:42" x14ac:dyDescent="0.25">
      <c r="A844" s="1" t="s">
        <v>27</v>
      </c>
      <c r="B844" s="1" t="s">
        <v>48</v>
      </c>
      <c r="C844" s="1" t="s">
        <v>29</v>
      </c>
      <c r="D844" s="1" t="s">
        <v>49</v>
      </c>
      <c r="E844" s="1" t="s">
        <v>120</v>
      </c>
      <c r="F844" s="1" t="s">
        <v>21</v>
      </c>
      <c r="G844" s="1" t="s">
        <v>121</v>
      </c>
      <c r="H844" s="1" t="s">
        <v>106</v>
      </c>
      <c r="I844" s="1" t="s">
        <v>107</v>
      </c>
      <c r="J844" s="1" t="s">
        <v>108</v>
      </c>
      <c r="K844" s="1" t="s">
        <v>109</v>
      </c>
      <c r="L844" s="1">
        <v>2571278</v>
      </c>
      <c r="M844" s="1" t="s">
        <v>1021</v>
      </c>
      <c r="N844" s="5">
        <f>DATE(2019,2,4)</f>
        <v>43500</v>
      </c>
      <c r="O844" s="5">
        <f>DATE(2023,12,31)</f>
        <v>45291</v>
      </c>
      <c r="P844" s="5">
        <f t="shared" si="302"/>
        <v>46386</v>
      </c>
      <c r="Q844" s="1">
        <v>4213</v>
      </c>
      <c r="R844" s="1">
        <v>3600</v>
      </c>
      <c r="S844" s="1">
        <f t="shared" si="303"/>
        <v>3600</v>
      </c>
      <c r="T844" s="1">
        <v>2.5</v>
      </c>
      <c r="U844" s="1" t="str">
        <f t="shared" si="304"/>
        <v>SIM</v>
      </c>
      <c r="V844" s="1">
        <f t="shared" si="305"/>
        <v>1792</v>
      </c>
      <c r="W844" s="4">
        <f t="shared" si="306"/>
        <v>2.0089285714285716</v>
      </c>
      <c r="X844" s="4">
        <f t="shared" si="307"/>
        <v>733.25892857142867</v>
      </c>
      <c r="Y844" s="4">
        <f t="shared" si="308"/>
        <v>0.91657366071428581</v>
      </c>
      <c r="AB844" s="5">
        <f t="shared" si="309"/>
        <v>45292</v>
      </c>
      <c r="AC844" s="5">
        <f t="shared" si="310"/>
        <v>45657</v>
      </c>
      <c r="AD844" s="1">
        <v>14</v>
      </c>
      <c r="AE844" s="1">
        <f t="shared" si="311"/>
        <v>0</v>
      </c>
      <c r="AF844" s="1">
        <f t="shared" si="312"/>
        <v>0</v>
      </c>
      <c r="AG844" s="1">
        <f t="shared" si="313"/>
        <v>0</v>
      </c>
      <c r="AH844" s="1">
        <f t="shared" si="314"/>
        <v>0</v>
      </c>
      <c r="AI844" s="1">
        <f t="shared" si="315"/>
        <v>183</v>
      </c>
      <c r="AJ844" s="3">
        <f t="shared" si="316"/>
        <v>0.5</v>
      </c>
      <c r="AK844" s="3">
        <f t="shared" si="317"/>
        <v>0.4582868303571429</v>
      </c>
      <c r="AL844" s="3">
        <f t="shared" si="318"/>
        <v>3.2080078125000004</v>
      </c>
      <c r="AM844" s="3">
        <f t="shared" si="319"/>
        <v>8.0200195312500018</v>
      </c>
      <c r="AN844" s="3">
        <f t="shared" si="320"/>
        <v>4.0100097656250009</v>
      </c>
      <c r="AO844" s="3">
        <f t="shared" si="321"/>
        <v>12.030029296875004</v>
      </c>
      <c r="AP844" s="1" t="str">
        <f>INDEX({"EAD";"EAD";"EAD";"EAD MOOC";"EAD";"EAD";"EAD FP";"EAD";"PRESENCIAL";"PRESENCIAL";"PRESENCIAL";"PRESENCIAL"}, MATCH(CONCATENATE(E844, ".", F844),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45" spans="1:42" x14ac:dyDescent="0.25">
      <c r="A845" s="1" t="s">
        <v>27</v>
      </c>
      <c r="B845" s="1" t="s">
        <v>48</v>
      </c>
      <c r="C845" s="1" t="s">
        <v>29</v>
      </c>
      <c r="D845" s="1" t="s">
        <v>49</v>
      </c>
      <c r="E845" s="1" t="s">
        <v>120</v>
      </c>
      <c r="F845" s="1" t="s">
        <v>21</v>
      </c>
      <c r="G845" s="1" t="s">
        <v>140</v>
      </c>
      <c r="H845" s="1" t="s">
        <v>325</v>
      </c>
      <c r="I845" s="1" t="s">
        <v>228</v>
      </c>
      <c r="J845" s="1" t="s">
        <v>108</v>
      </c>
      <c r="K845" s="1" t="s">
        <v>109</v>
      </c>
      <c r="L845" s="1">
        <v>2571279</v>
      </c>
      <c r="M845" s="1" t="s">
        <v>1022</v>
      </c>
      <c r="N845" s="5">
        <f>DATE(2019,2,4)</f>
        <v>43500</v>
      </c>
      <c r="O845" s="5">
        <f>DATE(2021,12,31)</f>
        <v>44561</v>
      </c>
      <c r="P845" s="5">
        <f t="shared" si="302"/>
        <v>45656</v>
      </c>
      <c r="Q845" s="1">
        <v>2406</v>
      </c>
      <c r="R845" s="1">
        <v>2400</v>
      </c>
      <c r="S845" s="1">
        <f t="shared" si="303"/>
        <v>2400</v>
      </c>
      <c r="T845" s="1">
        <v>2.5</v>
      </c>
      <c r="U845" s="1" t="str">
        <f t="shared" si="304"/>
        <v>SIM</v>
      </c>
      <c r="V845" s="1">
        <f t="shared" si="305"/>
        <v>1062</v>
      </c>
      <c r="W845" s="4">
        <f t="shared" si="306"/>
        <v>2.2598870056497176</v>
      </c>
      <c r="X845" s="4">
        <f t="shared" si="307"/>
        <v>824.85875706214688</v>
      </c>
      <c r="Y845" s="4">
        <f t="shared" si="308"/>
        <v>1.0310734463276836</v>
      </c>
      <c r="AB845" s="5">
        <f t="shared" si="309"/>
        <v>45292</v>
      </c>
      <c r="AC845" s="5">
        <f t="shared" si="310"/>
        <v>45657</v>
      </c>
      <c r="AD845" s="1">
        <v>13</v>
      </c>
      <c r="AE845" s="1">
        <f t="shared" si="311"/>
        <v>0</v>
      </c>
      <c r="AF845" s="1">
        <f t="shared" si="312"/>
        <v>0</v>
      </c>
      <c r="AG845" s="1">
        <f t="shared" si="313"/>
        <v>0</v>
      </c>
      <c r="AH845" s="1">
        <f t="shared" si="314"/>
        <v>0</v>
      </c>
      <c r="AI845" s="1">
        <f t="shared" si="315"/>
        <v>183</v>
      </c>
      <c r="AJ845" s="3">
        <f t="shared" si="316"/>
        <v>0.5</v>
      </c>
      <c r="AK845" s="3">
        <f t="shared" si="317"/>
        <v>0.5155367231638418</v>
      </c>
      <c r="AL845" s="3">
        <f t="shared" si="318"/>
        <v>3.3509887005649719</v>
      </c>
      <c r="AM845" s="3">
        <f t="shared" si="319"/>
        <v>8.3774717514124291</v>
      </c>
      <c r="AN845" s="3">
        <f t="shared" si="320"/>
        <v>4.1887358757062145</v>
      </c>
      <c r="AO845" s="3">
        <f t="shared" si="321"/>
        <v>12.566207627118644</v>
      </c>
      <c r="AP845" s="1" t="str">
        <f>INDEX({"EAD";"EAD";"EAD";"EAD MOOC";"EAD";"EAD";"EAD FP";"EAD";"PRESENCIAL";"PRESENCIAL";"PRESENCIAL";"PRESENCIAL"}, MATCH(CONCATENATE(E845, ".", F845),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46" spans="1:42" x14ac:dyDescent="0.25">
      <c r="A846" s="1" t="s">
        <v>27</v>
      </c>
      <c r="B846" s="1" t="s">
        <v>48</v>
      </c>
      <c r="C846" s="1" t="s">
        <v>29</v>
      </c>
      <c r="D846" s="1" t="s">
        <v>49</v>
      </c>
      <c r="E846" s="1" t="s">
        <v>120</v>
      </c>
      <c r="F846" s="1" t="s">
        <v>21</v>
      </c>
      <c r="G846" s="1" t="s">
        <v>278</v>
      </c>
      <c r="H846" s="1" t="s">
        <v>1017</v>
      </c>
      <c r="I846" s="1" t="s">
        <v>172</v>
      </c>
      <c r="J846" s="1" t="s">
        <v>125</v>
      </c>
      <c r="K846" s="1" t="s">
        <v>109</v>
      </c>
      <c r="L846" s="1">
        <v>2688496</v>
      </c>
      <c r="M846" s="1" t="s">
        <v>1023</v>
      </c>
      <c r="N846" s="5">
        <f>DATE(2020,2,3)</f>
        <v>43864</v>
      </c>
      <c r="O846" s="5">
        <f>DATE(2023,12,31)</f>
        <v>45291</v>
      </c>
      <c r="P846" s="5">
        <f t="shared" si="302"/>
        <v>46386</v>
      </c>
      <c r="Q846" s="1">
        <v>3212</v>
      </c>
      <c r="R846" s="1">
        <v>3200</v>
      </c>
      <c r="S846" s="1">
        <f t="shared" si="303"/>
        <v>3200</v>
      </c>
      <c r="T846" s="1">
        <v>2.5</v>
      </c>
      <c r="U846" s="1" t="str">
        <f t="shared" si="304"/>
        <v>SIM</v>
      </c>
      <c r="V846" s="1">
        <f t="shared" si="305"/>
        <v>1428</v>
      </c>
      <c r="W846" s="4">
        <f t="shared" si="306"/>
        <v>2.2408963585434174</v>
      </c>
      <c r="X846" s="4">
        <f t="shared" si="307"/>
        <v>817.92717086834739</v>
      </c>
      <c r="Y846" s="4">
        <f t="shared" si="308"/>
        <v>1.0224089635854343</v>
      </c>
      <c r="AB846" s="5">
        <f t="shared" si="309"/>
        <v>45292</v>
      </c>
      <c r="AC846" s="5">
        <f t="shared" si="310"/>
        <v>45657</v>
      </c>
      <c r="AD846" s="1">
        <v>9</v>
      </c>
      <c r="AE846" s="1">
        <f t="shared" si="311"/>
        <v>0</v>
      </c>
      <c r="AF846" s="1">
        <f t="shared" si="312"/>
        <v>0</v>
      </c>
      <c r="AG846" s="1">
        <f t="shared" si="313"/>
        <v>0</v>
      </c>
      <c r="AH846" s="1">
        <f t="shared" si="314"/>
        <v>0</v>
      </c>
      <c r="AI846" s="1">
        <f t="shared" si="315"/>
        <v>183</v>
      </c>
      <c r="AJ846" s="3">
        <f t="shared" si="316"/>
        <v>0.5</v>
      </c>
      <c r="AK846" s="3">
        <f t="shared" si="317"/>
        <v>0.51120448179271716</v>
      </c>
      <c r="AL846" s="3">
        <f t="shared" si="318"/>
        <v>2.3004201680672272</v>
      </c>
      <c r="AM846" s="3">
        <f t="shared" si="319"/>
        <v>5.7510504201680677</v>
      </c>
      <c r="AN846" s="3">
        <f t="shared" si="320"/>
        <v>0</v>
      </c>
      <c r="AO846" s="3">
        <f t="shared" si="321"/>
        <v>5.7510504201680677</v>
      </c>
      <c r="AP846" s="1" t="str">
        <f>INDEX({"EAD";"EAD";"EAD";"EAD MOOC";"EAD";"EAD";"EAD FP";"EAD";"PRESENCIAL";"PRESENCIAL";"PRESENCIAL";"PRESENCIAL"}, MATCH(CONCATENATE(E846, ".", F846),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47" spans="1:42" x14ac:dyDescent="0.25">
      <c r="A847" s="1" t="s">
        <v>27</v>
      </c>
      <c r="B847" s="1" t="s">
        <v>48</v>
      </c>
      <c r="C847" s="1" t="s">
        <v>29</v>
      </c>
      <c r="D847" s="1" t="s">
        <v>49</v>
      </c>
      <c r="E847" s="1" t="s">
        <v>120</v>
      </c>
      <c r="F847" s="1" t="s">
        <v>21</v>
      </c>
      <c r="G847" s="1" t="s">
        <v>121</v>
      </c>
      <c r="H847" s="1" t="s">
        <v>106</v>
      </c>
      <c r="I847" s="1" t="s">
        <v>107</v>
      </c>
      <c r="J847" s="1" t="s">
        <v>108</v>
      </c>
      <c r="K847" s="1" t="s">
        <v>109</v>
      </c>
      <c r="L847" s="1">
        <v>2688503</v>
      </c>
      <c r="M847" s="1" t="s">
        <v>1024</v>
      </c>
      <c r="N847" s="5">
        <f>DATE(2020,2,3)</f>
        <v>43864</v>
      </c>
      <c r="O847" s="5">
        <f>DATE(2024,12,31)</f>
        <v>45657</v>
      </c>
      <c r="P847" s="5">
        <f t="shared" si="302"/>
        <v>46752</v>
      </c>
      <c r="Q847" s="1">
        <v>4213</v>
      </c>
      <c r="R847" s="1">
        <v>3600</v>
      </c>
      <c r="S847" s="1">
        <f t="shared" si="303"/>
        <v>3600</v>
      </c>
      <c r="T847" s="1">
        <v>2.5</v>
      </c>
      <c r="U847" s="1" t="str">
        <f t="shared" si="304"/>
        <v>SIM</v>
      </c>
      <c r="V847" s="1">
        <f t="shared" si="305"/>
        <v>1794</v>
      </c>
      <c r="W847" s="4">
        <f t="shared" si="306"/>
        <v>2.0066889632107023</v>
      </c>
      <c r="X847" s="4">
        <f t="shared" si="307"/>
        <v>732.44147157190639</v>
      </c>
      <c r="Y847" s="4">
        <f t="shared" si="308"/>
        <v>0.91555183946488294</v>
      </c>
      <c r="AB847" s="5">
        <f t="shared" si="309"/>
        <v>45292</v>
      </c>
      <c r="AC847" s="5">
        <f t="shared" si="310"/>
        <v>45657</v>
      </c>
      <c r="AD847" s="1">
        <v>10</v>
      </c>
      <c r="AE847" s="1">
        <f t="shared" si="311"/>
        <v>0</v>
      </c>
      <c r="AF847" s="1">
        <f t="shared" si="312"/>
        <v>0</v>
      </c>
      <c r="AG847" s="1">
        <f t="shared" si="313"/>
        <v>366</v>
      </c>
      <c r="AH847" s="1">
        <f t="shared" si="314"/>
        <v>0</v>
      </c>
      <c r="AI847" s="1">
        <f t="shared" si="315"/>
        <v>0</v>
      </c>
      <c r="AJ847" s="3">
        <f t="shared" si="316"/>
        <v>1</v>
      </c>
      <c r="AK847" s="3">
        <f t="shared" si="317"/>
        <v>0.91555183946488294</v>
      </c>
      <c r="AL847" s="3">
        <f t="shared" si="318"/>
        <v>9.1555183946488299</v>
      </c>
      <c r="AM847" s="3">
        <f t="shared" si="319"/>
        <v>22.888795986622075</v>
      </c>
      <c r="AN847" s="3">
        <f t="shared" si="320"/>
        <v>11.444397993311037</v>
      </c>
      <c r="AO847" s="3">
        <f t="shared" si="321"/>
        <v>34.333193979933114</v>
      </c>
      <c r="AP847" s="1" t="str">
        <f>INDEX({"EAD";"EAD";"EAD";"EAD MOOC";"EAD";"EAD";"EAD FP";"EAD";"PRESENCIAL";"PRESENCIAL";"PRESENCIAL";"PRESENCIAL"}, MATCH(CONCATENATE(E847, ".", F847),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48" spans="1:42" x14ac:dyDescent="0.25">
      <c r="A848" s="1" t="s">
        <v>27</v>
      </c>
      <c r="B848" s="1" t="s">
        <v>48</v>
      </c>
      <c r="C848" s="1" t="s">
        <v>29</v>
      </c>
      <c r="D848" s="1" t="s">
        <v>49</v>
      </c>
      <c r="E848" s="1" t="s">
        <v>120</v>
      </c>
      <c r="F848" s="1" t="s">
        <v>21</v>
      </c>
      <c r="G848" s="1" t="s">
        <v>140</v>
      </c>
      <c r="H848" s="1" t="s">
        <v>325</v>
      </c>
      <c r="I848" s="1" t="s">
        <v>228</v>
      </c>
      <c r="J848" s="1" t="s">
        <v>108</v>
      </c>
      <c r="K848" s="1" t="s">
        <v>109</v>
      </c>
      <c r="L848" s="1">
        <v>2688504</v>
      </c>
      <c r="M848" s="1" t="s">
        <v>1025</v>
      </c>
      <c r="N848" s="5">
        <f>DATE(2020,2,3)</f>
        <v>43864</v>
      </c>
      <c r="O848" s="5">
        <f>DATE(2022,12,31)</f>
        <v>44926</v>
      </c>
      <c r="P848" s="5">
        <f t="shared" si="302"/>
        <v>46021</v>
      </c>
      <c r="Q848" s="1">
        <v>2406</v>
      </c>
      <c r="R848" s="1">
        <v>2400</v>
      </c>
      <c r="S848" s="1">
        <f t="shared" si="303"/>
        <v>2400</v>
      </c>
      <c r="T848" s="1">
        <v>2.5</v>
      </c>
      <c r="U848" s="1" t="str">
        <f t="shared" si="304"/>
        <v>SIM</v>
      </c>
      <c r="V848" s="1">
        <f t="shared" si="305"/>
        <v>1063</v>
      </c>
      <c r="W848" s="4">
        <f t="shared" si="306"/>
        <v>2.2577610536218251</v>
      </c>
      <c r="X848" s="4">
        <f t="shared" si="307"/>
        <v>824.08278457196616</v>
      </c>
      <c r="Y848" s="4">
        <f t="shared" si="308"/>
        <v>1.0301034807149576</v>
      </c>
      <c r="AB848" s="5">
        <f t="shared" si="309"/>
        <v>45292</v>
      </c>
      <c r="AC848" s="5">
        <f t="shared" si="310"/>
        <v>45657</v>
      </c>
      <c r="AD848" s="1">
        <v>17</v>
      </c>
      <c r="AE848" s="1">
        <f t="shared" si="311"/>
        <v>0</v>
      </c>
      <c r="AF848" s="1">
        <f t="shared" si="312"/>
        <v>0</v>
      </c>
      <c r="AG848" s="1">
        <f t="shared" si="313"/>
        <v>0</v>
      </c>
      <c r="AH848" s="1">
        <f t="shared" si="314"/>
        <v>0</v>
      </c>
      <c r="AI848" s="1">
        <f t="shared" si="315"/>
        <v>183</v>
      </c>
      <c r="AJ848" s="3">
        <f t="shared" si="316"/>
        <v>0.5</v>
      </c>
      <c r="AK848" s="3">
        <f t="shared" si="317"/>
        <v>0.5150517403574788</v>
      </c>
      <c r="AL848" s="3">
        <f t="shared" si="318"/>
        <v>4.3779397930385695</v>
      </c>
      <c r="AM848" s="3">
        <f t="shared" si="319"/>
        <v>10.944849482596425</v>
      </c>
      <c r="AN848" s="3">
        <f t="shared" si="320"/>
        <v>5.4724247412982123</v>
      </c>
      <c r="AO848" s="3">
        <f t="shared" si="321"/>
        <v>16.417274223894637</v>
      </c>
      <c r="AP848" s="1" t="str">
        <f>INDEX({"EAD";"EAD";"EAD";"EAD MOOC";"EAD";"EAD";"EAD FP";"EAD";"PRESENCIAL";"PRESENCIAL";"PRESENCIAL";"PRESENCIAL"}, MATCH(CONCATENATE(E848, ".", F848),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49" spans="1:42" x14ac:dyDescent="0.25">
      <c r="A849" s="1" t="s">
        <v>27</v>
      </c>
      <c r="B849" s="1" t="s">
        <v>48</v>
      </c>
      <c r="C849" s="1" t="s">
        <v>29</v>
      </c>
      <c r="D849" s="1" t="s">
        <v>49</v>
      </c>
      <c r="E849" s="1" t="s">
        <v>120</v>
      </c>
      <c r="F849" s="1" t="s">
        <v>21</v>
      </c>
      <c r="G849" s="1" t="s">
        <v>128</v>
      </c>
      <c r="H849" s="1" t="s">
        <v>132</v>
      </c>
      <c r="I849" s="1" t="s">
        <v>107</v>
      </c>
      <c r="J849" s="1" t="s">
        <v>108</v>
      </c>
      <c r="K849" s="1" t="s">
        <v>130</v>
      </c>
      <c r="L849" s="1">
        <v>2768348</v>
      </c>
      <c r="M849" s="1" t="s">
        <v>1026</v>
      </c>
      <c r="N849" s="5">
        <f>DATE(2021,4,5)</f>
        <v>44291</v>
      </c>
      <c r="O849" s="5">
        <f>DATE(2023,12,31)</f>
        <v>45291</v>
      </c>
      <c r="P849" s="5">
        <f t="shared" si="302"/>
        <v>46386</v>
      </c>
      <c r="Q849" s="1">
        <v>3826</v>
      </c>
      <c r="R849" s="1">
        <v>1200</v>
      </c>
      <c r="S849" s="1">
        <f t="shared" si="303"/>
        <v>3200</v>
      </c>
      <c r="T849" s="1">
        <v>2.5</v>
      </c>
      <c r="U849" s="1" t="str">
        <f t="shared" si="304"/>
        <v>SIM</v>
      </c>
      <c r="V849" s="1">
        <f t="shared" si="305"/>
        <v>1001</v>
      </c>
      <c r="W849" s="4">
        <f t="shared" si="306"/>
        <v>3.1968031968031969</v>
      </c>
      <c r="X849" s="4">
        <f t="shared" si="307"/>
        <v>1166.8331668331668</v>
      </c>
      <c r="Y849" s="4">
        <f t="shared" si="308"/>
        <v>1.4585414585414584</v>
      </c>
      <c r="AB849" s="5">
        <f t="shared" si="309"/>
        <v>45292</v>
      </c>
      <c r="AC849" s="5">
        <f t="shared" si="310"/>
        <v>45657</v>
      </c>
      <c r="AD849" s="1">
        <v>2</v>
      </c>
      <c r="AE849" s="1">
        <f t="shared" si="311"/>
        <v>0</v>
      </c>
      <c r="AF849" s="1">
        <f t="shared" si="312"/>
        <v>0</v>
      </c>
      <c r="AG849" s="1">
        <f t="shared" si="313"/>
        <v>0</v>
      </c>
      <c r="AH849" s="1">
        <f t="shared" si="314"/>
        <v>0</v>
      </c>
      <c r="AI849" s="1">
        <f t="shared" si="315"/>
        <v>183</v>
      </c>
      <c r="AJ849" s="3">
        <f t="shared" si="316"/>
        <v>0.5</v>
      </c>
      <c r="AK849" s="3">
        <f t="shared" si="317"/>
        <v>0.72927072927072922</v>
      </c>
      <c r="AL849" s="3">
        <f t="shared" si="318"/>
        <v>0.72927072927072922</v>
      </c>
      <c r="AM849" s="3">
        <f t="shared" si="319"/>
        <v>1.8231768231768231</v>
      </c>
      <c r="AN849" s="3">
        <f t="shared" si="320"/>
        <v>0.91158841158841153</v>
      </c>
      <c r="AO849" s="3">
        <f t="shared" si="321"/>
        <v>2.7347652347652347</v>
      </c>
      <c r="AP849" s="1" t="str">
        <f>INDEX({"EAD";"EAD";"EAD";"EAD MOOC";"EAD";"EAD";"EAD FP";"EAD";"PRESENCIAL";"PRESENCIAL";"PRESENCIAL";"PRESENCIAL"}, MATCH(CONCATENATE(E849, ".", F849),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50" spans="1:42" x14ac:dyDescent="0.25">
      <c r="A850" s="1" t="s">
        <v>27</v>
      </c>
      <c r="B850" s="1" t="s">
        <v>48</v>
      </c>
      <c r="C850" s="1" t="s">
        <v>29</v>
      </c>
      <c r="D850" s="1" t="s">
        <v>49</v>
      </c>
      <c r="E850" s="1" t="s">
        <v>120</v>
      </c>
      <c r="F850" s="1" t="s">
        <v>21</v>
      </c>
      <c r="G850" s="1" t="s">
        <v>140</v>
      </c>
      <c r="H850" s="1" t="s">
        <v>325</v>
      </c>
      <c r="I850" s="1" t="s">
        <v>228</v>
      </c>
      <c r="J850" s="1" t="s">
        <v>108</v>
      </c>
      <c r="K850" s="1" t="s">
        <v>109</v>
      </c>
      <c r="L850" s="1">
        <v>2768762</v>
      </c>
      <c r="M850" s="1" t="s">
        <v>1027</v>
      </c>
      <c r="N850" s="5">
        <f>DATE(2021,4,5)</f>
        <v>44291</v>
      </c>
      <c r="O850" s="5">
        <f>DATE(2023,12,31)</f>
        <v>45291</v>
      </c>
      <c r="P850" s="5">
        <f t="shared" si="302"/>
        <v>46386</v>
      </c>
      <c r="Q850" s="1">
        <v>2406</v>
      </c>
      <c r="R850" s="1">
        <v>2400</v>
      </c>
      <c r="S850" s="1">
        <f t="shared" si="303"/>
        <v>2400</v>
      </c>
      <c r="T850" s="1">
        <v>2.5</v>
      </c>
      <c r="U850" s="1" t="str">
        <f t="shared" si="304"/>
        <v>SIM</v>
      </c>
      <c r="V850" s="1">
        <f t="shared" si="305"/>
        <v>1001</v>
      </c>
      <c r="W850" s="4">
        <f t="shared" si="306"/>
        <v>2.3976023976023977</v>
      </c>
      <c r="X850" s="4">
        <f t="shared" si="307"/>
        <v>875.12487512487519</v>
      </c>
      <c r="Y850" s="4">
        <f t="shared" si="308"/>
        <v>1.0939060939060941</v>
      </c>
      <c r="AB850" s="5">
        <f t="shared" si="309"/>
        <v>45292</v>
      </c>
      <c r="AC850" s="5">
        <f t="shared" si="310"/>
        <v>45657</v>
      </c>
      <c r="AD850" s="1">
        <v>16</v>
      </c>
      <c r="AE850" s="1">
        <f t="shared" si="311"/>
        <v>0</v>
      </c>
      <c r="AF850" s="1">
        <f t="shared" si="312"/>
        <v>0</v>
      </c>
      <c r="AG850" s="1">
        <f t="shared" si="313"/>
        <v>0</v>
      </c>
      <c r="AH850" s="1">
        <f t="shared" si="314"/>
        <v>0</v>
      </c>
      <c r="AI850" s="1">
        <f t="shared" si="315"/>
        <v>183</v>
      </c>
      <c r="AJ850" s="3">
        <f t="shared" si="316"/>
        <v>0.5</v>
      </c>
      <c r="AK850" s="3">
        <f t="shared" si="317"/>
        <v>0.54695304695304703</v>
      </c>
      <c r="AL850" s="3">
        <f t="shared" si="318"/>
        <v>4.3756243756243762</v>
      </c>
      <c r="AM850" s="3">
        <f t="shared" si="319"/>
        <v>10.939060939060941</v>
      </c>
      <c r="AN850" s="3">
        <f t="shared" si="320"/>
        <v>5.4695304695304703</v>
      </c>
      <c r="AO850" s="3">
        <f t="shared" si="321"/>
        <v>16.408591408591413</v>
      </c>
      <c r="AP850" s="1" t="str">
        <f>INDEX({"EAD";"EAD";"EAD";"EAD MOOC";"EAD";"EAD";"EAD FP";"EAD";"PRESENCIAL";"PRESENCIAL";"PRESENCIAL";"PRESENCIAL"}, MATCH(CONCATENATE(E850, ".", F850),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51" spans="1:42" x14ac:dyDescent="0.25">
      <c r="A851" s="1" t="s">
        <v>27</v>
      </c>
      <c r="B851" s="1" t="s">
        <v>48</v>
      </c>
      <c r="C851" s="1" t="s">
        <v>29</v>
      </c>
      <c r="D851" s="1" t="s">
        <v>49</v>
      </c>
      <c r="E851" s="1" t="s">
        <v>120</v>
      </c>
      <c r="F851" s="1" t="s">
        <v>21</v>
      </c>
      <c r="G851" s="1" t="s">
        <v>121</v>
      </c>
      <c r="H851" s="1" t="s">
        <v>106</v>
      </c>
      <c r="I851" s="1" t="s">
        <v>107</v>
      </c>
      <c r="J851" s="1" t="s">
        <v>108</v>
      </c>
      <c r="K851" s="1" t="s">
        <v>109</v>
      </c>
      <c r="L851" s="1">
        <v>2768767</v>
      </c>
      <c r="M851" s="1" t="s">
        <v>1028</v>
      </c>
      <c r="N851" s="5">
        <f>DATE(2021,4,5)</f>
        <v>44291</v>
      </c>
      <c r="O851" s="5">
        <f>DATE(2025,12,31)</f>
        <v>46022</v>
      </c>
      <c r="P851" s="5">
        <f t="shared" si="302"/>
        <v>47117</v>
      </c>
      <c r="Q851" s="1">
        <v>4213</v>
      </c>
      <c r="R851" s="1">
        <v>3600</v>
      </c>
      <c r="S851" s="1">
        <f t="shared" si="303"/>
        <v>3600</v>
      </c>
      <c r="T851" s="1">
        <v>2.5</v>
      </c>
      <c r="U851" s="1" t="str">
        <f t="shared" si="304"/>
        <v>SIM</v>
      </c>
      <c r="V851" s="1">
        <f t="shared" si="305"/>
        <v>1732</v>
      </c>
      <c r="W851" s="4">
        <f t="shared" si="306"/>
        <v>2.0785219399538106</v>
      </c>
      <c r="X851" s="4">
        <f t="shared" si="307"/>
        <v>758.66050808314083</v>
      </c>
      <c r="Y851" s="4">
        <f t="shared" si="308"/>
        <v>0.94832563510392598</v>
      </c>
      <c r="AB851" s="5">
        <f t="shared" si="309"/>
        <v>45292</v>
      </c>
      <c r="AC851" s="5">
        <f t="shared" si="310"/>
        <v>45657</v>
      </c>
      <c r="AD851" s="1">
        <v>11</v>
      </c>
      <c r="AE851" s="1">
        <f t="shared" si="311"/>
        <v>366</v>
      </c>
      <c r="AF851" s="1">
        <f t="shared" si="312"/>
        <v>0</v>
      </c>
      <c r="AG851" s="1">
        <f t="shared" si="313"/>
        <v>0</v>
      </c>
      <c r="AH851" s="1">
        <f t="shared" si="314"/>
        <v>0</v>
      </c>
      <c r="AI851" s="1">
        <f t="shared" si="315"/>
        <v>0</v>
      </c>
      <c r="AJ851" s="3">
        <f t="shared" si="316"/>
        <v>1</v>
      </c>
      <c r="AK851" s="3">
        <f t="shared" si="317"/>
        <v>0.94832563510392598</v>
      </c>
      <c r="AL851" s="3">
        <f t="shared" si="318"/>
        <v>10.431581986143186</v>
      </c>
      <c r="AM851" s="3">
        <f t="shared" si="319"/>
        <v>26.078954965357966</v>
      </c>
      <c r="AN851" s="3">
        <f t="shared" si="320"/>
        <v>13.039477482678983</v>
      </c>
      <c r="AO851" s="3">
        <f t="shared" si="321"/>
        <v>39.118432448036948</v>
      </c>
      <c r="AP851" s="1" t="str">
        <f>INDEX({"EAD";"EAD";"EAD";"EAD MOOC";"EAD";"EAD";"EAD FP";"EAD";"PRESENCIAL";"PRESENCIAL";"PRESENCIAL";"PRESENCIAL"}, MATCH(CONCATENATE(E851, ".", F851),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52" spans="1:42" x14ac:dyDescent="0.25">
      <c r="A852" s="1" t="s">
        <v>27</v>
      </c>
      <c r="B852" s="1" t="s">
        <v>48</v>
      </c>
      <c r="C852" s="1" t="s">
        <v>29</v>
      </c>
      <c r="D852" s="1" t="s">
        <v>49</v>
      </c>
      <c r="E852" s="1" t="s">
        <v>120</v>
      </c>
      <c r="F852" s="1" t="s">
        <v>21</v>
      </c>
      <c r="G852" s="1" t="s">
        <v>278</v>
      </c>
      <c r="H852" s="1" t="s">
        <v>1017</v>
      </c>
      <c r="I852" s="1" t="s">
        <v>172</v>
      </c>
      <c r="J852" s="1" t="s">
        <v>125</v>
      </c>
      <c r="K852" s="1" t="s">
        <v>109</v>
      </c>
      <c r="L852" s="1">
        <v>2768769</v>
      </c>
      <c r="M852" s="1" t="s">
        <v>1029</v>
      </c>
      <c r="N852" s="5">
        <f>DATE(2021,4,5)</f>
        <v>44291</v>
      </c>
      <c r="O852" s="5">
        <f>DATE(2024,12,31)</f>
        <v>45657</v>
      </c>
      <c r="P852" s="5">
        <f t="shared" si="302"/>
        <v>46752</v>
      </c>
      <c r="Q852" s="1">
        <v>3212</v>
      </c>
      <c r="R852" s="1">
        <v>3200</v>
      </c>
      <c r="S852" s="1">
        <f t="shared" si="303"/>
        <v>3200</v>
      </c>
      <c r="T852" s="1">
        <v>2.5</v>
      </c>
      <c r="U852" s="1" t="str">
        <f t="shared" si="304"/>
        <v>SIM</v>
      </c>
      <c r="V852" s="1">
        <f t="shared" si="305"/>
        <v>1367</v>
      </c>
      <c r="W852" s="4">
        <f t="shared" si="306"/>
        <v>2.3408924652523773</v>
      </c>
      <c r="X852" s="4">
        <f t="shared" si="307"/>
        <v>854.42574981711766</v>
      </c>
      <c r="Y852" s="4">
        <f t="shared" si="308"/>
        <v>1.0680321872713971</v>
      </c>
      <c r="AB852" s="5">
        <f t="shared" si="309"/>
        <v>45292</v>
      </c>
      <c r="AC852" s="5">
        <f t="shared" si="310"/>
        <v>45657</v>
      </c>
      <c r="AD852" s="1">
        <v>23</v>
      </c>
      <c r="AE852" s="1">
        <f t="shared" si="311"/>
        <v>0</v>
      </c>
      <c r="AF852" s="1">
        <f t="shared" si="312"/>
        <v>0</v>
      </c>
      <c r="AG852" s="1">
        <f t="shared" si="313"/>
        <v>366</v>
      </c>
      <c r="AH852" s="1">
        <f t="shared" si="314"/>
        <v>0</v>
      </c>
      <c r="AI852" s="1">
        <f t="shared" si="315"/>
        <v>0</v>
      </c>
      <c r="AJ852" s="3">
        <f t="shared" si="316"/>
        <v>1</v>
      </c>
      <c r="AK852" s="3">
        <f t="shared" si="317"/>
        <v>1.0680321872713971</v>
      </c>
      <c r="AL852" s="3">
        <f t="shared" si="318"/>
        <v>24.564740307242133</v>
      </c>
      <c r="AM852" s="3">
        <f t="shared" si="319"/>
        <v>61.411850768105332</v>
      </c>
      <c r="AN852" s="3">
        <f t="shared" si="320"/>
        <v>0</v>
      </c>
      <c r="AO852" s="3">
        <f t="shared" si="321"/>
        <v>61.411850768105332</v>
      </c>
      <c r="AP852" s="1" t="str">
        <f>INDEX({"EAD";"EAD";"EAD";"EAD MOOC";"EAD";"EAD";"EAD FP";"EAD";"PRESENCIAL";"PRESENCIAL";"PRESENCIAL";"PRESENCIAL"}, MATCH(CONCATENATE(E852, ".", F852),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53" spans="1:42" x14ac:dyDescent="0.25">
      <c r="A853" s="1" t="s">
        <v>27</v>
      </c>
      <c r="B853" s="1" t="s">
        <v>48</v>
      </c>
      <c r="C853" s="1" t="s">
        <v>29</v>
      </c>
      <c r="D853" s="1" t="s">
        <v>49</v>
      </c>
      <c r="E853" s="1" t="s">
        <v>120</v>
      </c>
      <c r="F853" s="1" t="s">
        <v>21</v>
      </c>
      <c r="G853" s="1" t="s">
        <v>128</v>
      </c>
      <c r="H853" s="1" t="s">
        <v>132</v>
      </c>
      <c r="I853" s="1" t="s">
        <v>107</v>
      </c>
      <c r="J853" s="1" t="s">
        <v>108</v>
      </c>
      <c r="K853" s="1" t="s">
        <v>130</v>
      </c>
      <c r="L853" s="1">
        <v>2843667</v>
      </c>
      <c r="M853" s="1" t="s">
        <v>1030</v>
      </c>
      <c r="N853" s="5">
        <f>DATE(2022,2,7)</f>
        <v>44599</v>
      </c>
      <c r="O853" s="5">
        <f>DATE(2024,12,31)</f>
        <v>45657</v>
      </c>
      <c r="P853" s="5">
        <f t="shared" si="302"/>
        <v>46752</v>
      </c>
      <c r="Q853" s="1">
        <v>3826</v>
      </c>
      <c r="R853" s="1">
        <v>1200</v>
      </c>
      <c r="S853" s="1">
        <f t="shared" si="303"/>
        <v>3200</v>
      </c>
      <c r="T853" s="1">
        <v>2.5</v>
      </c>
      <c r="U853" s="1" t="str">
        <f t="shared" si="304"/>
        <v>SIM</v>
      </c>
      <c r="V853" s="1">
        <f t="shared" si="305"/>
        <v>1059</v>
      </c>
      <c r="W853" s="4">
        <f t="shared" si="306"/>
        <v>3.0217186024551466</v>
      </c>
      <c r="X853" s="4">
        <f t="shared" si="307"/>
        <v>1102.9272898961285</v>
      </c>
      <c r="Y853" s="4">
        <f t="shared" si="308"/>
        <v>1.3786591123701606</v>
      </c>
      <c r="AB853" s="5">
        <f t="shared" si="309"/>
        <v>45292</v>
      </c>
      <c r="AC853" s="5">
        <f t="shared" si="310"/>
        <v>45657</v>
      </c>
      <c r="AD853" s="1">
        <v>53</v>
      </c>
      <c r="AE853" s="1">
        <f t="shared" si="311"/>
        <v>0</v>
      </c>
      <c r="AF853" s="1">
        <f t="shared" si="312"/>
        <v>0</v>
      </c>
      <c r="AG853" s="1">
        <f t="shared" si="313"/>
        <v>366</v>
      </c>
      <c r="AH853" s="1">
        <f t="shared" si="314"/>
        <v>0</v>
      </c>
      <c r="AI853" s="1">
        <f t="shared" si="315"/>
        <v>0</v>
      </c>
      <c r="AJ853" s="3">
        <f t="shared" si="316"/>
        <v>1</v>
      </c>
      <c r="AK853" s="3">
        <f t="shared" si="317"/>
        <v>1.3786591123701606</v>
      </c>
      <c r="AL853" s="3">
        <f t="shared" si="318"/>
        <v>73.068932955618507</v>
      </c>
      <c r="AM853" s="3">
        <f t="shared" si="319"/>
        <v>182.67233238904626</v>
      </c>
      <c r="AN853" s="3">
        <f t="shared" si="320"/>
        <v>91.33616619452313</v>
      </c>
      <c r="AO853" s="3">
        <f t="shared" si="321"/>
        <v>274.00849858356941</v>
      </c>
      <c r="AP853" s="1" t="str">
        <f>INDEX({"EAD";"EAD";"EAD";"EAD MOOC";"EAD";"EAD";"EAD FP";"EAD";"PRESENCIAL";"PRESENCIAL";"PRESENCIAL";"PRESENCIAL"}, MATCH(CONCATENATE(E853, ".", F853),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54" spans="1:42" x14ac:dyDescent="0.25">
      <c r="A854" s="1" t="s">
        <v>27</v>
      </c>
      <c r="B854" s="1" t="s">
        <v>48</v>
      </c>
      <c r="C854" s="1" t="s">
        <v>29</v>
      </c>
      <c r="D854" s="1" t="s">
        <v>49</v>
      </c>
      <c r="E854" s="1" t="s">
        <v>120</v>
      </c>
      <c r="F854" s="1" t="s">
        <v>21</v>
      </c>
      <c r="G854" s="1" t="s">
        <v>128</v>
      </c>
      <c r="H854" s="1" t="s">
        <v>132</v>
      </c>
      <c r="I854" s="1" t="s">
        <v>107</v>
      </c>
      <c r="J854" s="1" t="s">
        <v>108</v>
      </c>
      <c r="K854" s="1" t="s">
        <v>130</v>
      </c>
      <c r="L854" s="1">
        <v>2970954</v>
      </c>
      <c r="M854" s="1" t="s">
        <v>457</v>
      </c>
      <c r="N854" s="5">
        <f>DATE(2023,2,6)</f>
        <v>44963</v>
      </c>
      <c r="O854" s="5">
        <f>DATE(2025,12,31)</f>
        <v>46022</v>
      </c>
      <c r="P854" s="5">
        <f t="shared" si="302"/>
        <v>47117</v>
      </c>
      <c r="Q854" s="1">
        <v>3826</v>
      </c>
      <c r="R854" s="1">
        <v>1200</v>
      </c>
      <c r="S854" s="1">
        <f t="shared" si="303"/>
        <v>3200</v>
      </c>
      <c r="T854" s="1">
        <v>2.5</v>
      </c>
      <c r="U854" s="1" t="str">
        <f t="shared" si="304"/>
        <v>SIM</v>
      </c>
      <c r="V854" s="1">
        <f t="shared" si="305"/>
        <v>1060</v>
      </c>
      <c r="W854" s="4">
        <f t="shared" si="306"/>
        <v>3.0188679245283021</v>
      </c>
      <c r="X854" s="4">
        <f t="shared" si="307"/>
        <v>1101.8867924528304</v>
      </c>
      <c r="Y854" s="4">
        <f t="shared" si="308"/>
        <v>1.3773584905660379</v>
      </c>
      <c r="AB854" s="5">
        <f t="shared" si="309"/>
        <v>45292</v>
      </c>
      <c r="AC854" s="5">
        <f t="shared" si="310"/>
        <v>45657</v>
      </c>
      <c r="AD854" s="1">
        <v>92</v>
      </c>
      <c r="AE854" s="1">
        <f t="shared" si="311"/>
        <v>366</v>
      </c>
      <c r="AF854" s="1">
        <f t="shared" si="312"/>
        <v>0</v>
      </c>
      <c r="AG854" s="1">
        <f t="shared" si="313"/>
        <v>0</v>
      </c>
      <c r="AH854" s="1">
        <f t="shared" si="314"/>
        <v>0</v>
      </c>
      <c r="AI854" s="1">
        <f t="shared" si="315"/>
        <v>0</v>
      </c>
      <c r="AJ854" s="3">
        <f t="shared" si="316"/>
        <v>1</v>
      </c>
      <c r="AK854" s="3">
        <f t="shared" si="317"/>
        <v>1.3773584905660379</v>
      </c>
      <c r="AL854" s="3">
        <f t="shared" si="318"/>
        <v>126.71698113207549</v>
      </c>
      <c r="AM854" s="3">
        <f t="shared" si="319"/>
        <v>316.79245283018872</v>
      </c>
      <c r="AN854" s="3">
        <f t="shared" si="320"/>
        <v>158.39622641509436</v>
      </c>
      <c r="AO854" s="3">
        <f t="shared" si="321"/>
        <v>475.18867924528308</v>
      </c>
      <c r="AP854" s="1" t="str">
        <f>INDEX({"EAD";"EAD";"EAD";"EAD MOOC";"EAD";"EAD";"EAD FP";"EAD";"PRESENCIAL";"PRESENCIAL";"PRESENCIAL";"PRESENCIAL"}, MATCH(CONCATENATE(E854, ".", F854),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55" spans="1:42" x14ac:dyDescent="0.25">
      <c r="A855" s="1" t="s">
        <v>27</v>
      </c>
      <c r="B855" s="1" t="s">
        <v>48</v>
      </c>
      <c r="C855" s="1" t="s">
        <v>29</v>
      </c>
      <c r="D855" s="1" t="s">
        <v>49</v>
      </c>
      <c r="E855" s="1" t="s">
        <v>170</v>
      </c>
      <c r="F855" s="1" t="s">
        <v>447</v>
      </c>
      <c r="G855" s="1" t="s">
        <v>128</v>
      </c>
      <c r="H855" s="1" t="s">
        <v>171</v>
      </c>
      <c r="I855" s="1" t="s">
        <v>172</v>
      </c>
      <c r="J855" s="1" t="s">
        <v>125</v>
      </c>
      <c r="K855" s="1" t="s">
        <v>163</v>
      </c>
      <c r="L855" s="1">
        <v>2979332</v>
      </c>
      <c r="M855" s="1" t="s">
        <v>300</v>
      </c>
      <c r="N855" s="5">
        <f>DATE(2023,4,3)</f>
        <v>45019</v>
      </c>
      <c r="O855" s="5">
        <f>DATE(2024,10,31)</f>
        <v>45596</v>
      </c>
      <c r="P855" s="5">
        <f t="shared" si="302"/>
        <v>46691</v>
      </c>
      <c r="Q855" s="1">
        <v>1200</v>
      </c>
      <c r="R855" s="1">
        <v>1200</v>
      </c>
      <c r="S855" s="1">
        <f t="shared" si="303"/>
        <v>1200</v>
      </c>
      <c r="T855" s="1">
        <v>2</v>
      </c>
      <c r="U855" s="1" t="str">
        <f t="shared" si="304"/>
        <v>SIM</v>
      </c>
      <c r="V855" s="1">
        <f t="shared" si="305"/>
        <v>578</v>
      </c>
      <c r="W855" s="4">
        <f t="shared" si="306"/>
        <v>2.0761245674740483</v>
      </c>
      <c r="X855" s="4">
        <f t="shared" si="307"/>
        <v>757.78546712802768</v>
      </c>
      <c r="Y855" s="4">
        <f t="shared" si="308"/>
        <v>0.94723183391003463</v>
      </c>
      <c r="AB855" s="5">
        <f t="shared" si="309"/>
        <v>45292</v>
      </c>
      <c r="AC855" s="5">
        <f t="shared" si="310"/>
        <v>45657</v>
      </c>
      <c r="AD855" s="1">
        <v>15</v>
      </c>
      <c r="AE855" s="1">
        <f t="shared" si="311"/>
        <v>0</v>
      </c>
      <c r="AF855" s="1">
        <f t="shared" si="312"/>
        <v>0</v>
      </c>
      <c r="AG855" s="1">
        <f t="shared" si="313"/>
        <v>305</v>
      </c>
      <c r="AH855" s="1">
        <f t="shared" si="314"/>
        <v>0</v>
      </c>
      <c r="AI855" s="1">
        <f t="shared" si="315"/>
        <v>0</v>
      </c>
      <c r="AJ855" s="3">
        <f t="shared" si="316"/>
        <v>0.83333333333333337</v>
      </c>
      <c r="AK855" s="3">
        <f t="shared" si="317"/>
        <v>0.78935986159169558</v>
      </c>
      <c r="AL855" s="3">
        <f t="shared" si="318"/>
        <v>11.840397923875434</v>
      </c>
      <c r="AM855" s="3">
        <f t="shared" si="319"/>
        <v>23.680795847750868</v>
      </c>
      <c r="AN855" s="3">
        <f t="shared" si="320"/>
        <v>0</v>
      </c>
      <c r="AO855" s="3">
        <f t="shared" si="321"/>
        <v>23.680795847750868</v>
      </c>
      <c r="AP855" s="1" t="str">
        <f>INDEX({"EAD";"EAD";"EAD";"EAD MOOC";"EAD";"EAD";"EAD FP";"EAD";"PRESENCIAL";"PRESENCIAL";"PRESENCIAL";"PRESENCIAL"}, MATCH(CONCATENATE(E855, ".", F855),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856" spans="1:42" x14ac:dyDescent="0.25">
      <c r="A856" s="1" t="s">
        <v>27</v>
      </c>
      <c r="B856" s="1" t="s">
        <v>48</v>
      </c>
      <c r="C856" s="1" t="s">
        <v>29</v>
      </c>
      <c r="D856" s="1" t="s">
        <v>49</v>
      </c>
      <c r="E856" s="1" t="s">
        <v>170</v>
      </c>
      <c r="F856" s="1" t="s">
        <v>447</v>
      </c>
      <c r="G856" s="1" t="s">
        <v>128</v>
      </c>
      <c r="H856" s="1" t="s">
        <v>174</v>
      </c>
      <c r="I856" s="1" t="s">
        <v>172</v>
      </c>
      <c r="J856" s="1" t="s">
        <v>125</v>
      </c>
      <c r="K856" s="1" t="s">
        <v>163</v>
      </c>
      <c r="L856" s="1">
        <v>2979361</v>
      </c>
      <c r="M856" s="1" t="s">
        <v>301</v>
      </c>
      <c r="N856" s="5">
        <f>DATE(2023,4,3)</f>
        <v>45019</v>
      </c>
      <c r="O856" s="5">
        <f>DATE(2024,10,31)</f>
        <v>45596</v>
      </c>
      <c r="P856" s="5">
        <f t="shared" si="302"/>
        <v>46691</v>
      </c>
      <c r="Q856" s="1">
        <v>1200</v>
      </c>
      <c r="R856" s="1">
        <v>1200</v>
      </c>
      <c r="S856" s="1">
        <f t="shared" si="303"/>
        <v>1200</v>
      </c>
      <c r="T856" s="1">
        <v>1</v>
      </c>
      <c r="U856" s="1" t="str">
        <f t="shared" si="304"/>
        <v>SIM</v>
      </c>
      <c r="V856" s="1">
        <f t="shared" si="305"/>
        <v>578</v>
      </c>
      <c r="W856" s="4">
        <f t="shared" si="306"/>
        <v>2.0761245674740483</v>
      </c>
      <c r="X856" s="4">
        <f t="shared" si="307"/>
        <v>757.78546712802768</v>
      </c>
      <c r="Y856" s="4">
        <f t="shared" si="308"/>
        <v>0.94723183391003463</v>
      </c>
      <c r="AB856" s="5">
        <f t="shared" si="309"/>
        <v>45292</v>
      </c>
      <c r="AC856" s="5">
        <f t="shared" si="310"/>
        <v>45657</v>
      </c>
      <c r="AD856" s="1">
        <v>32</v>
      </c>
      <c r="AE856" s="1">
        <f t="shared" si="311"/>
        <v>0</v>
      </c>
      <c r="AF856" s="1">
        <f t="shared" si="312"/>
        <v>0</v>
      </c>
      <c r="AG856" s="1">
        <f t="shared" si="313"/>
        <v>305</v>
      </c>
      <c r="AH856" s="1">
        <f t="shared" si="314"/>
        <v>0</v>
      </c>
      <c r="AI856" s="1">
        <f t="shared" si="315"/>
        <v>0</v>
      </c>
      <c r="AJ856" s="3">
        <f t="shared" si="316"/>
        <v>0.83333333333333337</v>
      </c>
      <c r="AK856" s="3">
        <f t="shared" si="317"/>
        <v>0.78935986159169558</v>
      </c>
      <c r="AL856" s="3">
        <f t="shared" si="318"/>
        <v>25.259515570934258</v>
      </c>
      <c r="AM856" s="3">
        <f t="shared" si="319"/>
        <v>25.259515570934258</v>
      </c>
      <c r="AN856" s="3">
        <f t="shared" si="320"/>
        <v>0</v>
      </c>
      <c r="AO856" s="3">
        <f t="shared" si="321"/>
        <v>25.259515570934258</v>
      </c>
      <c r="AP856" s="1" t="str">
        <f>INDEX({"EAD";"EAD";"EAD";"EAD MOOC";"EAD";"EAD";"EAD FP";"EAD";"PRESENCIAL";"PRESENCIAL";"PRESENCIAL";"PRESENCIAL"}, MATCH(CONCATENATE(E856, ".", F856),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857" spans="1:42" x14ac:dyDescent="0.25">
      <c r="A857" s="1" t="s">
        <v>27</v>
      </c>
      <c r="B857" s="1" t="s">
        <v>48</v>
      </c>
      <c r="C857" s="1" t="s">
        <v>29</v>
      </c>
      <c r="D857" s="1" t="s">
        <v>49</v>
      </c>
      <c r="E857" s="1" t="s">
        <v>170</v>
      </c>
      <c r="F857" s="1" t="s">
        <v>447</v>
      </c>
      <c r="G857" s="1" t="s">
        <v>128</v>
      </c>
      <c r="H857" s="1" t="s">
        <v>176</v>
      </c>
      <c r="I857" s="1" t="s">
        <v>172</v>
      </c>
      <c r="J857" s="1" t="s">
        <v>125</v>
      </c>
      <c r="K857" s="1" t="s">
        <v>163</v>
      </c>
      <c r="L857" s="1">
        <v>2979363</v>
      </c>
      <c r="M857" s="1" t="s">
        <v>302</v>
      </c>
      <c r="N857" s="5">
        <f>DATE(2023,4,3)</f>
        <v>45019</v>
      </c>
      <c r="O857" s="5">
        <f>DATE(2024,10,31)</f>
        <v>45596</v>
      </c>
      <c r="P857" s="5">
        <f t="shared" si="302"/>
        <v>46691</v>
      </c>
      <c r="Q857" s="1">
        <v>1200</v>
      </c>
      <c r="R857" s="1">
        <v>800</v>
      </c>
      <c r="S857" s="1">
        <f t="shared" si="303"/>
        <v>800</v>
      </c>
      <c r="T857" s="1">
        <v>1.5</v>
      </c>
      <c r="U857" s="1" t="str">
        <f t="shared" si="304"/>
        <v>SIM</v>
      </c>
      <c r="V857" s="1">
        <f t="shared" si="305"/>
        <v>578</v>
      </c>
      <c r="W857" s="4">
        <f t="shared" si="306"/>
        <v>1.3840830449826989</v>
      </c>
      <c r="X857" s="4">
        <f t="shared" si="307"/>
        <v>505.1903114186851</v>
      </c>
      <c r="Y857" s="4">
        <f t="shared" si="308"/>
        <v>0.63148788927335642</v>
      </c>
      <c r="AB857" s="5">
        <f t="shared" si="309"/>
        <v>45292</v>
      </c>
      <c r="AC857" s="5">
        <f t="shared" si="310"/>
        <v>45657</v>
      </c>
      <c r="AD857" s="1">
        <v>11</v>
      </c>
      <c r="AE857" s="1">
        <f t="shared" si="311"/>
        <v>0</v>
      </c>
      <c r="AF857" s="1">
        <f t="shared" si="312"/>
        <v>0</v>
      </c>
      <c r="AG857" s="1">
        <f t="shared" si="313"/>
        <v>305</v>
      </c>
      <c r="AH857" s="1">
        <f t="shared" si="314"/>
        <v>0</v>
      </c>
      <c r="AI857" s="1">
        <f t="shared" si="315"/>
        <v>0</v>
      </c>
      <c r="AJ857" s="3">
        <f t="shared" si="316"/>
        <v>0.83333333333333337</v>
      </c>
      <c r="AK857" s="3">
        <f t="shared" si="317"/>
        <v>0.52623990772779705</v>
      </c>
      <c r="AL857" s="3">
        <f t="shared" si="318"/>
        <v>5.7886389850057673</v>
      </c>
      <c r="AM857" s="3">
        <f t="shared" si="319"/>
        <v>8.6829584775086506</v>
      </c>
      <c r="AN857" s="3">
        <f t="shared" si="320"/>
        <v>0</v>
      </c>
      <c r="AO857" s="3">
        <f t="shared" si="321"/>
        <v>8.6829584775086506</v>
      </c>
      <c r="AP857" s="1" t="str">
        <f>INDEX({"EAD";"EAD";"EAD";"EAD MOOC";"EAD";"EAD";"EAD FP";"EAD";"PRESENCIAL";"PRESENCIAL";"PRESENCIAL";"PRESENCIAL"}, MATCH(CONCATENATE(E857, ".", F857),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858" spans="1:42" x14ac:dyDescent="0.25">
      <c r="A858" s="1" t="s">
        <v>27</v>
      </c>
      <c r="B858" s="1" t="s">
        <v>48</v>
      </c>
      <c r="C858" s="1" t="s">
        <v>29</v>
      </c>
      <c r="D858" s="1" t="s">
        <v>49</v>
      </c>
      <c r="E858" s="1" t="s">
        <v>120</v>
      </c>
      <c r="F858" s="1" t="s">
        <v>447</v>
      </c>
      <c r="G858" s="1" t="s">
        <v>128</v>
      </c>
      <c r="H858" s="1" t="s">
        <v>132</v>
      </c>
      <c r="I858" s="1" t="s">
        <v>107</v>
      </c>
      <c r="J858" s="1" t="s">
        <v>108</v>
      </c>
      <c r="K858" s="1" t="s">
        <v>259</v>
      </c>
      <c r="L858" s="1">
        <v>3065385</v>
      </c>
      <c r="M858" s="1" t="s">
        <v>1031</v>
      </c>
      <c r="N858" s="5">
        <f>DATE(2023,9,1)</f>
        <v>45170</v>
      </c>
      <c r="O858" s="5">
        <f>DATE(2025,12,31)</f>
        <v>46022</v>
      </c>
      <c r="P858" s="5">
        <f t="shared" si="302"/>
        <v>47117</v>
      </c>
      <c r="Q858" s="1">
        <v>1200</v>
      </c>
      <c r="R858" s="1">
        <v>1200</v>
      </c>
      <c r="S858" s="1">
        <f t="shared" si="303"/>
        <v>1200</v>
      </c>
      <c r="T858" s="1">
        <v>2.5</v>
      </c>
      <c r="U858" s="1" t="str">
        <f t="shared" si="304"/>
        <v>SIM</v>
      </c>
      <c r="V858" s="1">
        <f t="shared" si="305"/>
        <v>853</v>
      </c>
      <c r="W858" s="4">
        <f t="shared" si="306"/>
        <v>1.4067995310668229</v>
      </c>
      <c r="X858" s="4">
        <f t="shared" si="307"/>
        <v>513.48182883939035</v>
      </c>
      <c r="Y858" s="4">
        <f t="shared" si="308"/>
        <v>0.64185228604923794</v>
      </c>
      <c r="AB858" s="5">
        <f t="shared" si="309"/>
        <v>45292</v>
      </c>
      <c r="AC858" s="5">
        <f t="shared" si="310"/>
        <v>45657</v>
      </c>
      <c r="AD858" s="1">
        <v>64</v>
      </c>
      <c r="AE858" s="1">
        <f t="shared" si="311"/>
        <v>366</v>
      </c>
      <c r="AF858" s="1">
        <f t="shared" si="312"/>
        <v>0</v>
      </c>
      <c r="AG858" s="1">
        <f t="shared" si="313"/>
        <v>0</v>
      </c>
      <c r="AH858" s="1">
        <f t="shared" si="314"/>
        <v>0</v>
      </c>
      <c r="AI858" s="1">
        <f t="shared" si="315"/>
        <v>0</v>
      </c>
      <c r="AJ858" s="3">
        <f t="shared" si="316"/>
        <v>1</v>
      </c>
      <c r="AK858" s="3">
        <f t="shared" si="317"/>
        <v>0.64185228604923794</v>
      </c>
      <c r="AL858" s="3">
        <f t="shared" si="318"/>
        <v>41.078546307151228</v>
      </c>
      <c r="AM858" s="3">
        <f t="shared" si="319"/>
        <v>102.69636576787806</v>
      </c>
      <c r="AN858" s="3">
        <f t="shared" si="320"/>
        <v>51.348182883939032</v>
      </c>
      <c r="AO858" s="3">
        <f t="shared" si="321"/>
        <v>154.04454865181708</v>
      </c>
      <c r="AP858" s="1" t="str">
        <f>INDEX({"EAD";"EAD";"EAD";"EAD MOOC";"EAD";"EAD";"EAD FP";"EAD";"PRESENCIAL";"PRESENCIAL";"PRESENCIAL";"PRESENCIAL"}, MATCH(CONCATENATE(E858, ".", F858),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59" spans="1:42" x14ac:dyDescent="0.25">
      <c r="A859" s="1" t="s">
        <v>27</v>
      </c>
      <c r="B859" s="1" t="s">
        <v>48</v>
      </c>
      <c r="C859" s="1" t="s">
        <v>29</v>
      </c>
      <c r="D859" s="1" t="s">
        <v>49</v>
      </c>
      <c r="E859" s="1" t="s">
        <v>120</v>
      </c>
      <c r="F859" s="1" t="s">
        <v>21</v>
      </c>
      <c r="G859" s="1" t="s">
        <v>128</v>
      </c>
      <c r="H859" s="1" t="s">
        <v>132</v>
      </c>
      <c r="I859" s="1" t="s">
        <v>107</v>
      </c>
      <c r="J859" s="1" t="s">
        <v>108</v>
      </c>
      <c r="K859" s="1" t="s">
        <v>130</v>
      </c>
      <c r="L859" s="1">
        <v>3139519</v>
      </c>
      <c r="M859" s="1" t="s">
        <v>472</v>
      </c>
      <c r="N859" s="5">
        <f>DATE(2024,2,5)</f>
        <v>45327</v>
      </c>
      <c r="O859" s="5">
        <f>DATE(2026,12,31)</f>
        <v>46387</v>
      </c>
      <c r="P859" s="5">
        <f t="shared" si="302"/>
        <v>47482</v>
      </c>
      <c r="Q859" s="1">
        <v>3214</v>
      </c>
      <c r="R859" s="1">
        <v>1200</v>
      </c>
      <c r="S859" s="1">
        <f t="shared" si="303"/>
        <v>3200</v>
      </c>
      <c r="T859" s="1">
        <v>2.5</v>
      </c>
      <c r="U859" s="1" t="str">
        <f t="shared" si="304"/>
        <v>SIM</v>
      </c>
      <c r="V859" s="1">
        <f t="shared" si="305"/>
        <v>1061</v>
      </c>
      <c r="W859" s="4">
        <f t="shared" si="306"/>
        <v>3.0160226201696512</v>
      </c>
      <c r="X859" s="4">
        <f t="shared" si="307"/>
        <v>1100.8482563619227</v>
      </c>
      <c r="Y859" s="4">
        <f t="shared" si="308"/>
        <v>1.3760603204524033</v>
      </c>
      <c r="AB859" s="5">
        <f t="shared" si="309"/>
        <v>45292</v>
      </c>
      <c r="AC859" s="5">
        <f t="shared" si="310"/>
        <v>45657</v>
      </c>
      <c r="AD859" s="1">
        <v>70</v>
      </c>
      <c r="AE859" s="1">
        <f t="shared" si="311"/>
        <v>0</v>
      </c>
      <c r="AF859" s="1">
        <f t="shared" si="312"/>
        <v>331</v>
      </c>
      <c r="AG859" s="1">
        <f t="shared" si="313"/>
        <v>0</v>
      </c>
      <c r="AH859" s="1">
        <f t="shared" si="314"/>
        <v>0</v>
      </c>
      <c r="AI859" s="1">
        <f t="shared" si="315"/>
        <v>0</v>
      </c>
      <c r="AJ859" s="3">
        <f t="shared" si="316"/>
        <v>0.90437158469945356</v>
      </c>
      <c r="AK859" s="3">
        <f t="shared" si="317"/>
        <v>1.2444698526495779</v>
      </c>
      <c r="AL859" s="3">
        <f t="shared" si="318"/>
        <v>87.112889685470449</v>
      </c>
      <c r="AM859" s="3">
        <f t="shared" si="319"/>
        <v>217.78222421367613</v>
      </c>
      <c r="AN859" s="3">
        <f t="shared" si="320"/>
        <v>108.89111210683807</v>
      </c>
      <c r="AO859" s="3">
        <f t="shared" si="321"/>
        <v>326.67333632051418</v>
      </c>
      <c r="AP859" s="1" t="str">
        <f>INDEX({"EAD";"EAD";"EAD";"EAD MOOC";"EAD";"EAD";"EAD FP";"EAD";"PRESENCIAL";"PRESENCIAL";"PRESENCIAL";"PRESENCIAL"}, MATCH(CONCATENATE(E859, ".", F859),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60" spans="1:42" x14ac:dyDescent="0.25">
      <c r="A860" s="1" t="s">
        <v>27</v>
      </c>
      <c r="B860" s="1" t="s">
        <v>48</v>
      </c>
      <c r="C860" s="1" t="s">
        <v>29</v>
      </c>
      <c r="D860" s="1" t="s">
        <v>49</v>
      </c>
      <c r="E860" s="1" t="s">
        <v>170</v>
      </c>
      <c r="F860" s="1" t="s">
        <v>21</v>
      </c>
      <c r="G860" s="1" t="s">
        <v>178</v>
      </c>
      <c r="H860" s="1" t="s">
        <v>1032</v>
      </c>
      <c r="I860" s="1" t="s">
        <v>449</v>
      </c>
      <c r="J860" s="1" t="s">
        <v>125</v>
      </c>
      <c r="K860" s="1" t="s">
        <v>109</v>
      </c>
      <c r="L860" s="1">
        <v>3192435</v>
      </c>
      <c r="M860" s="1" t="s">
        <v>1033</v>
      </c>
      <c r="N860" s="5">
        <f>DATE(2024,4,15)</f>
        <v>45397</v>
      </c>
      <c r="O860" s="5">
        <f>DATE(2025,4,15)</f>
        <v>45762</v>
      </c>
      <c r="P860" s="5">
        <f t="shared" si="302"/>
        <v>46857</v>
      </c>
      <c r="Q860" s="1">
        <v>500</v>
      </c>
      <c r="R860" s="1">
        <v>360</v>
      </c>
      <c r="S860" s="1">
        <f t="shared" si="303"/>
        <v>360</v>
      </c>
      <c r="T860" s="1">
        <v>1</v>
      </c>
      <c r="U860" s="1" t="str">
        <f t="shared" si="304"/>
        <v>SIM</v>
      </c>
      <c r="V860" s="1">
        <f t="shared" si="305"/>
        <v>366</v>
      </c>
      <c r="W860" s="4">
        <f t="shared" si="306"/>
        <v>0.98360655737704916</v>
      </c>
      <c r="X860" s="4">
        <f t="shared" si="307"/>
        <v>359.01639344262293</v>
      </c>
      <c r="Y860" s="4">
        <f t="shared" si="308"/>
        <v>0.44877049180327866</v>
      </c>
      <c r="AB860" s="5">
        <f t="shared" si="309"/>
        <v>45292</v>
      </c>
      <c r="AC860" s="5">
        <f t="shared" si="310"/>
        <v>45657</v>
      </c>
      <c r="AD860" s="1">
        <v>678</v>
      </c>
      <c r="AE860" s="1">
        <f t="shared" si="311"/>
        <v>0</v>
      </c>
      <c r="AF860" s="1">
        <f t="shared" si="312"/>
        <v>261</v>
      </c>
      <c r="AG860" s="1">
        <f t="shared" si="313"/>
        <v>0</v>
      </c>
      <c r="AH860" s="1">
        <f t="shared" si="314"/>
        <v>0</v>
      </c>
      <c r="AI860" s="1">
        <f t="shared" si="315"/>
        <v>0</v>
      </c>
      <c r="AJ860" s="3">
        <f t="shared" si="316"/>
        <v>0.71311475409836067</v>
      </c>
      <c r="AK860" s="3">
        <f t="shared" si="317"/>
        <v>0.32002485890889543</v>
      </c>
      <c r="AL860" s="3">
        <f t="shared" si="318"/>
        <v>216.97685434023109</v>
      </c>
      <c r="AM860" s="3">
        <f t="shared" si="319"/>
        <v>216.97685434023109</v>
      </c>
      <c r="AN860" s="3">
        <f t="shared" si="320"/>
        <v>0</v>
      </c>
      <c r="AO860" s="3">
        <f t="shared" si="321"/>
        <v>216.97685434023109</v>
      </c>
      <c r="AP860" s="1" t="str">
        <f>INDEX({"EAD";"EAD";"EAD";"EAD MOOC";"EAD";"EAD";"EAD FP";"EAD";"PRESENCIAL";"PRESENCIAL";"PRESENCIAL";"PRESENCIAL"}, MATCH(CONCATENATE(E860, ".", F860),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861" spans="1:42" x14ac:dyDescent="0.25">
      <c r="A861" s="1" t="s">
        <v>27</v>
      </c>
      <c r="B861" s="1" t="s">
        <v>50</v>
      </c>
      <c r="C861" s="1" t="s">
        <v>29</v>
      </c>
      <c r="D861" s="1" t="s">
        <v>51</v>
      </c>
      <c r="E861" s="1" t="s">
        <v>120</v>
      </c>
      <c r="F861" s="1" t="s">
        <v>21</v>
      </c>
      <c r="G861" s="1" t="s">
        <v>278</v>
      </c>
      <c r="H861" s="1" t="s">
        <v>405</v>
      </c>
      <c r="I861" s="1" t="s">
        <v>172</v>
      </c>
      <c r="J861" s="1" t="s">
        <v>125</v>
      </c>
      <c r="K861" s="1" t="s">
        <v>109</v>
      </c>
      <c r="L861" s="1">
        <v>806188</v>
      </c>
      <c r="M861" s="1" t="s">
        <v>1034</v>
      </c>
      <c r="N861" s="5">
        <f>DATE(2011,2,8)</f>
        <v>40582</v>
      </c>
      <c r="O861" s="5">
        <f>DATE(2014,3,28)</f>
        <v>41726</v>
      </c>
      <c r="P861" s="5">
        <f t="shared" si="302"/>
        <v>42821</v>
      </c>
      <c r="Q861" s="1">
        <v>3120</v>
      </c>
      <c r="R861" s="1">
        <v>3200</v>
      </c>
      <c r="S861" s="1">
        <f t="shared" si="303"/>
        <v>3200</v>
      </c>
      <c r="T861" s="1">
        <v>2.5</v>
      </c>
      <c r="U861" s="1" t="str">
        <f t="shared" si="304"/>
        <v>NÃO</v>
      </c>
      <c r="V861" s="1">
        <f t="shared" si="305"/>
        <v>1145</v>
      </c>
      <c r="W861" s="4">
        <f t="shared" si="306"/>
        <v>2.7248908296943233</v>
      </c>
      <c r="X861" s="4">
        <f t="shared" si="307"/>
        <v>994.58515283842803</v>
      </c>
      <c r="Y861" s="4">
        <f t="shared" si="308"/>
        <v>1.243231441048035</v>
      </c>
      <c r="AB861" s="5">
        <f t="shared" si="309"/>
        <v>45292</v>
      </c>
      <c r="AC861" s="5">
        <f t="shared" si="310"/>
        <v>45657</v>
      </c>
      <c r="AD861" s="1">
        <v>2</v>
      </c>
      <c r="AE861" s="1">
        <f t="shared" si="311"/>
        <v>0</v>
      </c>
      <c r="AF861" s="1">
        <f t="shared" si="312"/>
        <v>0</v>
      </c>
      <c r="AG861" s="1">
        <f t="shared" si="313"/>
        <v>0</v>
      </c>
      <c r="AH861" s="1">
        <f t="shared" si="314"/>
        <v>0</v>
      </c>
      <c r="AI861" s="1">
        <f t="shared" si="315"/>
        <v>183</v>
      </c>
      <c r="AJ861" s="3">
        <f t="shared" si="316"/>
        <v>0.5</v>
      </c>
      <c r="AK861" s="3">
        <f t="shared" si="317"/>
        <v>0.62161572052401748</v>
      </c>
      <c r="AL861" s="3">
        <f t="shared" si="318"/>
        <v>0</v>
      </c>
      <c r="AM861" s="3">
        <f t="shared" si="319"/>
        <v>0</v>
      </c>
      <c r="AN861" s="3">
        <f t="shared" si="320"/>
        <v>0</v>
      </c>
      <c r="AO861" s="3">
        <f t="shared" si="321"/>
        <v>0</v>
      </c>
      <c r="AP861" s="1" t="str">
        <f>INDEX({"EAD";"EAD";"EAD";"EAD MOOC";"EAD";"EAD";"EAD FP";"EAD";"PRESENCIAL";"PRESENCIAL";"PRESENCIAL";"PRESENCIAL"}, MATCH(CONCATENATE(E861, ".", F861),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62" spans="1:42" x14ac:dyDescent="0.25">
      <c r="A862" s="1" t="s">
        <v>27</v>
      </c>
      <c r="B862" s="1" t="s">
        <v>50</v>
      </c>
      <c r="C862" s="1" t="s">
        <v>29</v>
      </c>
      <c r="D862" s="1" t="s">
        <v>51</v>
      </c>
      <c r="E862" s="1" t="s">
        <v>120</v>
      </c>
      <c r="F862" s="1" t="s">
        <v>21</v>
      </c>
      <c r="G862" s="1" t="s">
        <v>278</v>
      </c>
      <c r="H862" s="1" t="s">
        <v>320</v>
      </c>
      <c r="I862" s="1" t="s">
        <v>172</v>
      </c>
      <c r="J862" s="1" t="s">
        <v>125</v>
      </c>
      <c r="K862" s="1" t="s">
        <v>109</v>
      </c>
      <c r="L862" s="1">
        <v>806189</v>
      </c>
      <c r="M862" s="1" t="s">
        <v>1035</v>
      </c>
      <c r="N862" s="5">
        <f>DATE(2011,2,8)</f>
        <v>40582</v>
      </c>
      <c r="O862" s="5">
        <f>DATE(2014,11,28)</f>
        <v>41971</v>
      </c>
      <c r="P862" s="5">
        <f t="shared" si="302"/>
        <v>43066</v>
      </c>
      <c r="Q862" s="1">
        <v>3440</v>
      </c>
      <c r="R862" s="1">
        <v>3200</v>
      </c>
      <c r="S862" s="1">
        <f t="shared" si="303"/>
        <v>3200</v>
      </c>
      <c r="T862" s="1">
        <v>2.5</v>
      </c>
      <c r="U862" s="1" t="str">
        <f t="shared" si="304"/>
        <v>NÃO</v>
      </c>
      <c r="V862" s="1">
        <f t="shared" si="305"/>
        <v>1390</v>
      </c>
      <c r="W862" s="4">
        <f t="shared" si="306"/>
        <v>2.3021582733812949</v>
      </c>
      <c r="X862" s="4">
        <f t="shared" si="307"/>
        <v>840.28776978417261</v>
      </c>
      <c r="Y862" s="4">
        <f t="shared" si="308"/>
        <v>1.0503597122302157</v>
      </c>
      <c r="AB862" s="5">
        <f t="shared" si="309"/>
        <v>45292</v>
      </c>
      <c r="AC862" s="5">
        <f t="shared" si="310"/>
        <v>45657</v>
      </c>
      <c r="AD862" s="1">
        <v>1</v>
      </c>
      <c r="AE862" s="1">
        <f t="shared" si="311"/>
        <v>0</v>
      </c>
      <c r="AF862" s="1">
        <f t="shared" si="312"/>
        <v>0</v>
      </c>
      <c r="AG862" s="1">
        <f t="shared" si="313"/>
        <v>0</v>
      </c>
      <c r="AH862" s="1">
        <f t="shared" si="314"/>
        <v>0</v>
      </c>
      <c r="AI862" s="1">
        <f t="shared" si="315"/>
        <v>183</v>
      </c>
      <c r="AJ862" s="3">
        <f t="shared" si="316"/>
        <v>0.5</v>
      </c>
      <c r="AK862" s="3">
        <f t="shared" si="317"/>
        <v>0.52517985611510787</v>
      </c>
      <c r="AL862" s="3">
        <f t="shared" si="318"/>
        <v>0</v>
      </c>
      <c r="AM862" s="3">
        <f t="shared" si="319"/>
        <v>0</v>
      </c>
      <c r="AN862" s="3">
        <f t="shared" si="320"/>
        <v>0</v>
      </c>
      <c r="AO862" s="3">
        <f t="shared" si="321"/>
        <v>0</v>
      </c>
      <c r="AP862" s="1" t="str">
        <f>INDEX({"EAD";"EAD";"EAD";"EAD MOOC";"EAD";"EAD";"EAD FP";"EAD";"PRESENCIAL";"PRESENCIAL";"PRESENCIAL";"PRESENCIAL"}, MATCH(CONCATENATE(E862, ".", F862),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63" spans="1:42" x14ac:dyDescent="0.25">
      <c r="A863" s="1" t="s">
        <v>27</v>
      </c>
      <c r="B863" s="1" t="s">
        <v>50</v>
      </c>
      <c r="C863" s="1" t="s">
        <v>29</v>
      </c>
      <c r="D863" s="1" t="s">
        <v>51</v>
      </c>
      <c r="E863" s="1" t="s">
        <v>120</v>
      </c>
      <c r="F863" s="1" t="s">
        <v>21</v>
      </c>
      <c r="G863" s="1" t="s">
        <v>278</v>
      </c>
      <c r="H863" s="1" t="s">
        <v>405</v>
      </c>
      <c r="I863" s="1" t="s">
        <v>172</v>
      </c>
      <c r="J863" s="1" t="s">
        <v>125</v>
      </c>
      <c r="K863" s="1" t="s">
        <v>109</v>
      </c>
      <c r="L863" s="1">
        <v>1207881</v>
      </c>
      <c r="M863" s="1" t="s">
        <v>1036</v>
      </c>
      <c r="N863" s="5">
        <f>DATE(2012,3,26)</f>
        <v>40994</v>
      </c>
      <c r="O863" s="5">
        <f>DATE(2015,12,22)</f>
        <v>42360</v>
      </c>
      <c r="P863" s="5">
        <f t="shared" si="302"/>
        <v>43455</v>
      </c>
      <c r="Q863" s="1">
        <v>3200</v>
      </c>
      <c r="R863" s="1">
        <v>3200</v>
      </c>
      <c r="S863" s="1">
        <f t="shared" si="303"/>
        <v>3200</v>
      </c>
      <c r="T863" s="1">
        <v>2.5</v>
      </c>
      <c r="U863" s="1" t="str">
        <f t="shared" si="304"/>
        <v>NÃO</v>
      </c>
      <c r="V863" s="1">
        <f t="shared" si="305"/>
        <v>1367</v>
      </c>
      <c r="W863" s="4">
        <f t="shared" si="306"/>
        <v>2.3408924652523773</v>
      </c>
      <c r="X863" s="4">
        <f t="shared" si="307"/>
        <v>854.42574981711766</v>
      </c>
      <c r="Y863" s="4">
        <f t="shared" si="308"/>
        <v>1.0680321872713971</v>
      </c>
      <c r="AB863" s="5">
        <f t="shared" si="309"/>
        <v>45292</v>
      </c>
      <c r="AC863" s="5">
        <f t="shared" si="310"/>
        <v>45657</v>
      </c>
      <c r="AE863" s="1">
        <f t="shared" si="311"/>
        <v>0</v>
      </c>
      <c r="AF863" s="1">
        <f t="shared" si="312"/>
        <v>0</v>
      </c>
      <c r="AG863" s="1">
        <f t="shared" si="313"/>
        <v>0</v>
      </c>
      <c r="AH863" s="1">
        <f t="shared" si="314"/>
        <v>0</v>
      </c>
      <c r="AI863" s="1">
        <f t="shared" si="315"/>
        <v>183</v>
      </c>
      <c r="AJ863" s="3">
        <f t="shared" si="316"/>
        <v>0.5</v>
      </c>
      <c r="AK863" s="3">
        <f t="shared" si="317"/>
        <v>0.53401609363569857</v>
      </c>
      <c r="AL863" s="3">
        <f t="shared" si="318"/>
        <v>0</v>
      </c>
      <c r="AM863" s="3">
        <f t="shared" si="319"/>
        <v>0</v>
      </c>
      <c r="AN863" s="3">
        <f t="shared" si="320"/>
        <v>0</v>
      </c>
      <c r="AO863" s="3">
        <f t="shared" si="321"/>
        <v>0</v>
      </c>
      <c r="AP863" s="1" t="str">
        <f>INDEX({"EAD";"EAD";"EAD";"EAD MOOC";"EAD";"EAD";"EAD FP";"EAD";"PRESENCIAL";"PRESENCIAL";"PRESENCIAL";"PRESENCIAL"}, MATCH(CONCATENATE(E863, ".", F863),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64" spans="1:42" x14ac:dyDescent="0.25">
      <c r="A864" s="1" t="s">
        <v>27</v>
      </c>
      <c r="B864" s="1" t="s">
        <v>50</v>
      </c>
      <c r="C864" s="1" t="s">
        <v>29</v>
      </c>
      <c r="D864" s="1" t="s">
        <v>51</v>
      </c>
      <c r="E864" s="1" t="s">
        <v>120</v>
      </c>
      <c r="F864" s="1" t="s">
        <v>21</v>
      </c>
      <c r="G864" s="1" t="s">
        <v>278</v>
      </c>
      <c r="H864" s="1" t="s">
        <v>405</v>
      </c>
      <c r="I864" s="1" t="s">
        <v>172</v>
      </c>
      <c r="J864" s="1" t="s">
        <v>125</v>
      </c>
      <c r="K864" s="1" t="s">
        <v>109</v>
      </c>
      <c r="L864" s="1">
        <v>1783310</v>
      </c>
      <c r="M864" s="1" t="s">
        <v>1037</v>
      </c>
      <c r="N864" s="5">
        <f>DATE(2013,5,13)</f>
        <v>41407</v>
      </c>
      <c r="O864" s="5">
        <f>DATE(2016,12,22)</f>
        <v>42726</v>
      </c>
      <c r="P864" s="5">
        <f t="shared" si="302"/>
        <v>43821</v>
      </c>
      <c r="Q864" s="1">
        <v>3200</v>
      </c>
      <c r="R864" s="1">
        <v>3200</v>
      </c>
      <c r="S864" s="1">
        <f t="shared" si="303"/>
        <v>3200</v>
      </c>
      <c r="T864" s="1">
        <v>2.5</v>
      </c>
      <c r="U864" s="1" t="str">
        <f t="shared" si="304"/>
        <v>NÃO</v>
      </c>
      <c r="V864" s="1">
        <f t="shared" si="305"/>
        <v>1320</v>
      </c>
      <c r="W864" s="4">
        <f t="shared" si="306"/>
        <v>2.4242424242424243</v>
      </c>
      <c r="X864" s="4">
        <f t="shared" si="307"/>
        <v>884.84848484848487</v>
      </c>
      <c r="Y864" s="4">
        <f t="shared" si="308"/>
        <v>1.1060606060606062</v>
      </c>
      <c r="AB864" s="5">
        <f t="shared" si="309"/>
        <v>45292</v>
      </c>
      <c r="AC864" s="5">
        <f t="shared" si="310"/>
        <v>45657</v>
      </c>
      <c r="AE864" s="1">
        <f t="shared" si="311"/>
        <v>0</v>
      </c>
      <c r="AF864" s="1">
        <f t="shared" si="312"/>
        <v>0</v>
      </c>
      <c r="AG864" s="1">
        <f t="shared" si="313"/>
        <v>0</v>
      </c>
      <c r="AH864" s="1">
        <f t="shared" si="314"/>
        <v>0</v>
      </c>
      <c r="AI864" s="1">
        <f t="shared" si="315"/>
        <v>183</v>
      </c>
      <c r="AJ864" s="3">
        <f t="shared" si="316"/>
        <v>0.5</v>
      </c>
      <c r="AK864" s="3">
        <f t="shared" si="317"/>
        <v>0.55303030303030309</v>
      </c>
      <c r="AL864" s="3">
        <f t="shared" si="318"/>
        <v>0</v>
      </c>
      <c r="AM864" s="3">
        <f t="shared" si="319"/>
        <v>0</v>
      </c>
      <c r="AN864" s="3">
        <f t="shared" si="320"/>
        <v>0</v>
      </c>
      <c r="AO864" s="3">
        <f t="shared" si="321"/>
        <v>0</v>
      </c>
      <c r="AP864" s="1" t="str">
        <f>INDEX({"EAD";"EAD";"EAD";"EAD MOOC";"EAD";"EAD";"EAD FP";"EAD";"PRESENCIAL";"PRESENCIAL";"PRESENCIAL";"PRESENCIAL"}, MATCH(CONCATENATE(E864, ".", F864),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65" spans="1:42" x14ac:dyDescent="0.25">
      <c r="A865" s="1" t="s">
        <v>27</v>
      </c>
      <c r="B865" s="1" t="s">
        <v>50</v>
      </c>
      <c r="C865" s="1" t="s">
        <v>29</v>
      </c>
      <c r="D865" s="1" t="s">
        <v>51</v>
      </c>
      <c r="E865" s="1" t="s">
        <v>120</v>
      </c>
      <c r="F865" s="1" t="s">
        <v>21</v>
      </c>
      <c r="G865" s="1" t="s">
        <v>278</v>
      </c>
      <c r="H865" s="1" t="s">
        <v>405</v>
      </c>
      <c r="I865" s="1" t="s">
        <v>172</v>
      </c>
      <c r="J865" s="1" t="s">
        <v>125</v>
      </c>
      <c r="K865" s="1" t="s">
        <v>109</v>
      </c>
      <c r="L865" s="1">
        <v>1948856</v>
      </c>
      <c r="M865" s="1" t="s">
        <v>1038</v>
      </c>
      <c r="N865" s="5">
        <f>DATE(2014,4,22)</f>
        <v>41751</v>
      </c>
      <c r="O865" s="5">
        <f>DATE(2017,12,22)</f>
        <v>43091</v>
      </c>
      <c r="P865" s="5">
        <f t="shared" si="302"/>
        <v>44186</v>
      </c>
      <c r="Q865" s="1">
        <v>3200</v>
      </c>
      <c r="R865" s="1">
        <v>3200</v>
      </c>
      <c r="S865" s="1">
        <f t="shared" si="303"/>
        <v>3200</v>
      </c>
      <c r="T865" s="1">
        <v>2.5</v>
      </c>
      <c r="U865" s="1" t="str">
        <f t="shared" si="304"/>
        <v>NÃO</v>
      </c>
      <c r="V865" s="1">
        <f t="shared" si="305"/>
        <v>1341</v>
      </c>
      <c r="W865" s="4">
        <f t="shared" si="306"/>
        <v>2.3862788963460106</v>
      </c>
      <c r="X865" s="4">
        <f t="shared" si="307"/>
        <v>870.99179716629385</v>
      </c>
      <c r="Y865" s="4">
        <f t="shared" si="308"/>
        <v>1.0887397464578674</v>
      </c>
      <c r="AB865" s="5">
        <f t="shared" si="309"/>
        <v>45292</v>
      </c>
      <c r="AC865" s="5">
        <f t="shared" si="310"/>
        <v>45657</v>
      </c>
      <c r="AD865" s="1">
        <v>2</v>
      </c>
      <c r="AE865" s="1">
        <f t="shared" si="311"/>
        <v>0</v>
      </c>
      <c r="AF865" s="1">
        <f t="shared" si="312"/>
        <v>0</v>
      </c>
      <c r="AG865" s="1">
        <f t="shared" si="313"/>
        <v>0</v>
      </c>
      <c r="AH865" s="1">
        <f t="shared" si="314"/>
        <v>0</v>
      </c>
      <c r="AI865" s="1">
        <f t="shared" si="315"/>
        <v>183</v>
      </c>
      <c r="AJ865" s="3">
        <f t="shared" si="316"/>
        <v>0.5</v>
      </c>
      <c r="AK865" s="3">
        <f t="shared" si="317"/>
        <v>0.54436987322893371</v>
      </c>
      <c r="AL865" s="3">
        <f t="shared" si="318"/>
        <v>0</v>
      </c>
      <c r="AM865" s="3">
        <f t="shared" si="319"/>
        <v>0</v>
      </c>
      <c r="AN865" s="3">
        <f t="shared" si="320"/>
        <v>0</v>
      </c>
      <c r="AO865" s="3">
        <f t="shared" si="321"/>
        <v>0</v>
      </c>
      <c r="AP865" s="1" t="str">
        <f>INDEX({"EAD";"EAD";"EAD";"EAD MOOC";"EAD";"EAD";"EAD FP";"EAD";"PRESENCIAL";"PRESENCIAL";"PRESENCIAL";"PRESENCIAL"}, MATCH(CONCATENATE(E865, ".", F865),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66" spans="1:42" x14ac:dyDescent="0.25">
      <c r="A866" s="1" t="s">
        <v>27</v>
      </c>
      <c r="B866" s="1" t="s">
        <v>50</v>
      </c>
      <c r="C866" s="1" t="s">
        <v>29</v>
      </c>
      <c r="D866" s="1" t="s">
        <v>51</v>
      </c>
      <c r="E866" s="1" t="s">
        <v>120</v>
      </c>
      <c r="F866" s="1" t="s">
        <v>21</v>
      </c>
      <c r="G866" s="1" t="s">
        <v>278</v>
      </c>
      <c r="H866" s="1" t="s">
        <v>320</v>
      </c>
      <c r="I866" s="1" t="s">
        <v>172</v>
      </c>
      <c r="J866" s="1" t="s">
        <v>125</v>
      </c>
      <c r="K866" s="1" t="s">
        <v>109</v>
      </c>
      <c r="L866" s="1">
        <v>1948857</v>
      </c>
      <c r="M866" s="1" t="s">
        <v>1039</v>
      </c>
      <c r="N866" s="5">
        <f>DATE(2014,4,22)</f>
        <v>41751</v>
      </c>
      <c r="O866" s="5">
        <f>DATE(2017,12,22)</f>
        <v>43091</v>
      </c>
      <c r="P866" s="5">
        <f t="shared" si="302"/>
        <v>44186</v>
      </c>
      <c r="Q866" s="1">
        <v>3048</v>
      </c>
      <c r="R866" s="1">
        <v>3200</v>
      </c>
      <c r="S866" s="1">
        <f t="shared" si="303"/>
        <v>3200</v>
      </c>
      <c r="T866" s="1">
        <v>2.5</v>
      </c>
      <c r="U866" s="1" t="str">
        <f t="shared" si="304"/>
        <v>NÃO</v>
      </c>
      <c r="V866" s="1">
        <f t="shared" si="305"/>
        <v>1341</v>
      </c>
      <c r="W866" s="4">
        <f t="shared" si="306"/>
        <v>2.2729306487695751</v>
      </c>
      <c r="X866" s="4">
        <f t="shared" si="307"/>
        <v>829.6196868008949</v>
      </c>
      <c r="Y866" s="4">
        <f t="shared" si="308"/>
        <v>1.0370246085011185</v>
      </c>
      <c r="AB866" s="5">
        <f t="shared" si="309"/>
        <v>45292</v>
      </c>
      <c r="AC866" s="5">
        <f t="shared" si="310"/>
        <v>45657</v>
      </c>
      <c r="AD866" s="1">
        <v>1</v>
      </c>
      <c r="AE866" s="1">
        <f t="shared" si="311"/>
        <v>0</v>
      </c>
      <c r="AF866" s="1">
        <f t="shared" si="312"/>
        <v>0</v>
      </c>
      <c r="AG866" s="1">
        <f t="shared" si="313"/>
        <v>0</v>
      </c>
      <c r="AH866" s="1">
        <f t="shared" si="314"/>
        <v>0</v>
      </c>
      <c r="AI866" s="1">
        <f t="shared" si="315"/>
        <v>183</v>
      </c>
      <c r="AJ866" s="3">
        <f t="shared" si="316"/>
        <v>0.5</v>
      </c>
      <c r="AK866" s="3">
        <f t="shared" si="317"/>
        <v>0.51851230425055927</v>
      </c>
      <c r="AL866" s="3">
        <f t="shared" si="318"/>
        <v>0</v>
      </c>
      <c r="AM866" s="3">
        <f t="shared" si="319"/>
        <v>0</v>
      </c>
      <c r="AN866" s="3">
        <f t="shared" si="320"/>
        <v>0</v>
      </c>
      <c r="AO866" s="3">
        <f t="shared" si="321"/>
        <v>0</v>
      </c>
      <c r="AP866" s="1" t="str">
        <f>INDEX({"EAD";"EAD";"EAD";"EAD MOOC";"EAD";"EAD";"EAD FP";"EAD";"PRESENCIAL";"PRESENCIAL";"PRESENCIAL";"PRESENCIAL"}, MATCH(CONCATENATE(E866, ".", F866),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67" spans="1:42" x14ac:dyDescent="0.25">
      <c r="A867" s="1" t="s">
        <v>27</v>
      </c>
      <c r="B867" s="1" t="s">
        <v>50</v>
      </c>
      <c r="C867" s="1" t="s">
        <v>29</v>
      </c>
      <c r="D867" s="1" t="s">
        <v>51</v>
      </c>
      <c r="E867" s="1" t="s">
        <v>120</v>
      </c>
      <c r="F867" s="1" t="s">
        <v>21</v>
      </c>
      <c r="G867" s="1" t="s">
        <v>278</v>
      </c>
      <c r="H867" s="1" t="s">
        <v>320</v>
      </c>
      <c r="I867" s="1" t="s">
        <v>172</v>
      </c>
      <c r="J867" s="1" t="s">
        <v>125</v>
      </c>
      <c r="K867" s="1" t="s">
        <v>109</v>
      </c>
      <c r="L867" s="1">
        <v>1983992</v>
      </c>
      <c r="M867" s="1" t="s">
        <v>1040</v>
      </c>
      <c r="N867" s="5">
        <f>DATE(2015,3,30)</f>
        <v>42093</v>
      </c>
      <c r="O867" s="5">
        <f>DATE(2019,3,30)</f>
        <v>43554</v>
      </c>
      <c r="P867" s="5">
        <f t="shared" si="302"/>
        <v>44649</v>
      </c>
      <c r="Q867" s="1">
        <v>3048</v>
      </c>
      <c r="R867" s="1">
        <v>3200</v>
      </c>
      <c r="S867" s="1">
        <f t="shared" si="303"/>
        <v>3200</v>
      </c>
      <c r="T867" s="1">
        <v>2.5</v>
      </c>
      <c r="U867" s="1" t="str">
        <f t="shared" si="304"/>
        <v>NÃO</v>
      </c>
      <c r="V867" s="1">
        <f t="shared" si="305"/>
        <v>1462</v>
      </c>
      <c r="W867" s="4">
        <f t="shared" si="306"/>
        <v>2.0848153214774281</v>
      </c>
      <c r="X867" s="4">
        <f t="shared" si="307"/>
        <v>760.95759233926128</v>
      </c>
      <c r="Y867" s="4">
        <f t="shared" si="308"/>
        <v>0.95119699042407657</v>
      </c>
      <c r="AB867" s="5">
        <f t="shared" si="309"/>
        <v>45292</v>
      </c>
      <c r="AC867" s="5">
        <f t="shared" si="310"/>
        <v>45657</v>
      </c>
      <c r="AD867" s="1">
        <v>1</v>
      </c>
      <c r="AE867" s="1">
        <f t="shared" si="311"/>
        <v>0</v>
      </c>
      <c r="AF867" s="1">
        <f t="shared" si="312"/>
        <v>0</v>
      </c>
      <c r="AG867" s="1">
        <f t="shared" si="313"/>
        <v>0</v>
      </c>
      <c r="AH867" s="1">
        <f t="shared" si="314"/>
        <v>0</v>
      </c>
      <c r="AI867" s="1">
        <f t="shared" si="315"/>
        <v>183</v>
      </c>
      <c r="AJ867" s="3">
        <f t="shared" si="316"/>
        <v>0.5</v>
      </c>
      <c r="AK867" s="3">
        <f t="shared" si="317"/>
        <v>0.47559849521203829</v>
      </c>
      <c r="AL867" s="3">
        <f t="shared" si="318"/>
        <v>0</v>
      </c>
      <c r="AM867" s="3">
        <f t="shared" si="319"/>
        <v>0</v>
      </c>
      <c r="AN867" s="3">
        <f t="shared" si="320"/>
        <v>0</v>
      </c>
      <c r="AO867" s="3">
        <f t="shared" si="321"/>
        <v>0</v>
      </c>
      <c r="AP867" s="1" t="str">
        <f>INDEX({"EAD";"EAD";"EAD";"EAD MOOC";"EAD";"EAD";"EAD FP";"EAD";"PRESENCIAL";"PRESENCIAL";"PRESENCIAL";"PRESENCIAL"}, MATCH(CONCATENATE(E867, ".", F867),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68" spans="1:42" x14ac:dyDescent="0.25">
      <c r="A868" s="1" t="s">
        <v>27</v>
      </c>
      <c r="B868" s="1" t="s">
        <v>50</v>
      </c>
      <c r="C868" s="1" t="s">
        <v>29</v>
      </c>
      <c r="D868" s="1" t="s">
        <v>51</v>
      </c>
      <c r="E868" s="1" t="s">
        <v>120</v>
      </c>
      <c r="F868" s="1" t="s">
        <v>21</v>
      </c>
      <c r="G868" s="1" t="s">
        <v>278</v>
      </c>
      <c r="H868" s="1" t="s">
        <v>405</v>
      </c>
      <c r="I868" s="1" t="s">
        <v>172</v>
      </c>
      <c r="J868" s="1" t="s">
        <v>125</v>
      </c>
      <c r="K868" s="1" t="s">
        <v>109</v>
      </c>
      <c r="L868" s="1">
        <v>1983996</v>
      </c>
      <c r="M868" s="1" t="s">
        <v>1041</v>
      </c>
      <c r="N868" s="5">
        <f>DATE(2015,3,30)</f>
        <v>42093</v>
      </c>
      <c r="O868" s="5">
        <f>DATE(2019,3,30)</f>
        <v>43554</v>
      </c>
      <c r="P868" s="5">
        <f t="shared" si="302"/>
        <v>44649</v>
      </c>
      <c r="Q868" s="1">
        <v>3420</v>
      </c>
      <c r="R868" s="1">
        <v>3200</v>
      </c>
      <c r="S868" s="1">
        <f t="shared" si="303"/>
        <v>3200</v>
      </c>
      <c r="T868" s="1">
        <v>2.5</v>
      </c>
      <c r="U868" s="1" t="str">
        <f t="shared" si="304"/>
        <v>NÃO</v>
      </c>
      <c r="V868" s="1">
        <f t="shared" si="305"/>
        <v>1462</v>
      </c>
      <c r="W868" s="4">
        <f t="shared" si="306"/>
        <v>2.188782489740082</v>
      </c>
      <c r="X868" s="4">
        <f t="shared" si="307"/>
        <v>798.90560875512995</v>
      </c>
      <c r="Y868" s="4">
        <f t="shared" si="308"/>
        <v>0.99863201094391241</v>
      </c>
      <c r="AB868" s="5">
        <f t="shared" si="309"/>
        <v>45292</v>
      </c>
      <c r="AC868" s="5">
        <f t="shared" si="310"/>
        <v>45657</v>
      </c>
      <c r="AE868" s="1">
        <f t="shared" si="311"/>
        <v>0</v>
      </c>
      <c r="AF868" s="1">
        <f t="shared" si="312"/>
        <v>0</v>
      </c>
      <c r="AG868" s="1">
        <f t="shared" si="313"/>
        <v>0</v>
      </c>
      <c r="AH868" s="1">
        <f t="shared" si="314"/>
        <v>0</v>
      </c>
      <c r="AI868" s="1">
        <f t="shared" si="315"/>
        <v>183</v>
      </c>
      <c r="AJ868" s="3">
        <f t="shared" si="316"/>
        <v>0.5</v>
      </c>
      <c r="AK868" s="3">
        <f t="shared" si="317"/>
        <v>0.4993160054719562</v>
      </c>
      <c r="AL868" s="3">
        <f t="shared" si="318"/>
        <v>0</v>
      </c>
      <c r="AM868" s="3">
        <f t="shared" si="319"/>
        <v>0</v>
      </c>
      <c r="AN868" s="3">
        <f t="shared" si="320"/>
        <v>0</v>
      </c>
      <c r="AO868" s="3">
        <f t="shared" si="321"/>
        <v>0</v>
      </c>
      <c r="AP868" s="1" t="str">
        <f>INDEX({"EAD";"EAD";"EAD";"EAD MOOC";"EAD";"EAD";"EAD FP";"EAD";"PRESENCIAL";"PRESENCIAL";"PRESENCIAL";"PRESENCIAL"}, MATCH(CONCATENATE(E868, ".", F868),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69" spans="1:42" x14ac:dyDescent="0.25">
      <c r="A869" s="1" t="s">
        <v>27</v>
      </c>
      <c r="B869" s="1" t="s">
        <v>50</v>
      </c>
      <c r="C869" s="1" t="s">
        <v>29</v>
      </c>
      <c r="D869" s="1" t="s">
        <v>51</v>
      </c>
      <c r="E869" s="1" t="s">
        <v>120</v>
      </c>
      <c r="F869" s="1" t="s">
        <v>21</v>
      </c>
      <c r="G869" s="1" t="s">
        <v>278</v>
      </c>
      <c r="H869" s="1" t="s">
        <v>405</v>
      </c>
      <c r="I869" s="1" t="s">
        <v>172</v>
      </c>
      <c r="J869" s="1" t="s">
        <v>125</v>
      </c>
      <c r="K869" s="1" t="s">
        <v>109</v>
      </c>
      <c r="L869" s="1">
        <v>2029346</v>
      </c>
      <c r="M869" s="1" t="s">
        <v>1042</v>
      </c>
      <c r="N869" s="5">
        <f>DATE(2016,5,23)</f>
        <v>42513</v>
      </c>
      <c r="O869" s="5">
        <f>DATE(2020,5,22)</f>
        <v>43973</v>
      </c>
      <c r="P869" s="5">
        <f t="shared" si="302"/>
        <v>45068</v>
      </c>
      <c r="Q869" s="1">
        <v>3420</v>
      </c>
      <c r="R869" s="1">
        <v>3200</v>
      </c>
      <c r="S869" s="1">
        <f t="shared" si="303"/>
        <v>3200</v>
      </c>
      <c r="T869" s="1">
        <v>2.5</v>
      </c>
      <c r="U869" s="1" t="str">
        <f t="shared" si="304"/>
        <v>NÃO</v>
      </c>
      <c r="V869" s="1">
        <f t="shared" si="305"/>
        <v>1461</v>
      </c>
      <c r="W869" s="4">
        <f t="shared" si="306"/>
        <v>2.1902806297056809</v>
      </c>
      <c r="X869" s="4">
        <f t="shared" si="307"/>
        <v>799.45242984257357</v>
      </c>
      <c r="Y869" s="4">
        <f t="shared" si="308"/>
        <v>0.99931553730321698</v>
      </c>
      <c r="AB869" s="5">
        <f t="shared" si="309"/>
        <v>45292</v>
      </c>
      <c r="AC869" s="5">
        <f t="shared" si="310"/>
        <v>45657</v>
      </c>
      <c r="AD869" s="1">
        <v>2</v>
      </c>
      <c r="AE869" s="1">
        <f t="shared" si="311"/>
        <v>0</v>
      </c>
      <c r="AF869" s="1">
        <f t="shared" si="312"/>
        <v>0</v>
      </c>
      <c r="AG869" s="1">
        <f t="shared" si="313"/>
        <v>0</v>
      </c>
      <c r="AH869" s="1">
        <f t="shared" si="314"/>
        <v>0</v>
      </c>
      <c r="AI869" s="1">
        <f t="shared" si="315"/>
        <v>183</v>
      </c>
      <c r="AJ869" s="3">
        <f t="shared" si="316"/>
        <v>0.5</v>
      </c>
      <c r="AK869" s="3">
        <f t="shared" si="317"/>
        <v>0.49965776865160849</v>
      </c>
      <c r="AL869" s="3">
        <f t="shared" si="318"/>
        <v>0</v>
      </c>
      <c r="AM869" s="3">
        <f t="shared" si="319"/>
        <v>0</v>
      </c>
      <c r="AN869" s="3">
        <f t="shared" si="320"/>
        <v>0</v>
      </c>
      <c r="AO869" s="3">
        <f t="shared" si="321"/>
        <v>0</v>
      </c>
      <c r="AP869" s="1" t="str">
        <f>INDEX({"EAD";"EAD";"EAD";"EAD MOOC";"EAD";"EAD";"EAD FP";"EAD";"PRESENCIAL";"PRESENCIAL";"PRESENCIAL";"PRESENCIAL"}, MATCH(CONCATENATE(E869, ".", F869),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70" spans="1:42" x14ac:dyDescent="0.25">
      <c r="A870" s="1" t="s">
        <v>27</v>
      </c>
      <c r="B870" s="1" t="s">
        <v>50</v>
      </c>
      <c r="C870" s="1" t="s">
        <v>29</v>
      </c>
      <c r="D870" s="1" t="s">
        <v>51</v>
      </c>
      <c r="E870" s="1" t="s">
        <v>120</v>
      </c>
      <c r="F870" s="1" t="s">
        <v>21</v>
      </c>
      <c r="G870" s="1" t="s">
        <v>278</v>
      </c>
      <c r="H870" s="1" t="s">
        <v>320</v>
      </c>
      <c r="I870" s="1" t="s">
        <v>172</v>
      </c>
      <c r="J870" s="1" t="s">
        <v>125</v>
      </c>
      <c r="K870" s="1" t="s">
        <v>109</v>
      </c>
      <c r="L870" s="1">
        <v>2029347</v>
      </c>
      <c r="M870" s="1" t="s">
        <v>1043</v>
      </c>
      <c r="N870" s="5">
        <f>DATE(2016,5,23)</f>
        <v>42513</v>
      </c>
      <c r="O870" s="5">
        <f>DATE(2020,5,22)</f>
        <v>43973</v>
      </c>
      <c r="P870" s="5">
        <f t="shared" si="302"/>
        <v>45068</v>
      </c>
      <c r="Q870" s="1">
        <v>3048</v>
      </c>
      <c r="R870" s="1">
        <v>3200</v>
      </c>
      <c r="S870" s="1">
        <f t="shared" si="303"/>
        <v>3200</v>
      </c>
      <c r="T870" s="1">
        <v>2.5</v>
      </c>
      <c r="U870" s="1" t="str">
        <f t="shared" si="304"/>
        <v>NÃO</v>
      </c>
      <c r="V870" s="1">
        <f t="shared" si="305"/>
        <v>1461</v>
      </c>
      <c r="W870" s="4">
        <f t="shared" si="306"/>
        <v>2.086242299794661</v>
      </c>
      <c r="X870" s="4">
        <f t="shared" si="307"/>
        <v>761.47843942505131</v>
      </c>
      <c r="Y870" s="4">
        <f t="shared" si="308"/>
        <v>0.95184804928131417</v>
      </c>
      <c r="AB870" s="5">
        <f t="shared" si="309"/>
        <v>45292</v>
      </c>
      <c r="AC870" s="5">
        <f t="shared" si="310"/>
        <v>45657</v>
      </c>
      <c r="AD870" s="1">
        <v>3</v>
      </c>
      <c r="AE870" s="1">
        <f t="shared" si="311"/>
        <v>0</v>
      </c>
      <c r="AF870" s="1">
        <f t="shared" si="312"/>
        <v>0</v>
      </c>
      <c r="AG870" s="1">
        <f t="shared" si="313"/>
        <v>0</v>
      </c>
      <c r="AH870" s="1">
        <f t="shared" si="314"/>
        <v>0</v>
      </c>
      <c r="AI870" s="1">
        <f t="shared" si="315"/>
        <v>183</v>
      </c>
      <c r="AJ870" s="3">
        <f t="shared" si="316"/>
        <v>0.5</v>
      </c>
      <c r="AK870" s="3">
        <f t="shared" si="317"/>
        <v>0.47592402464065708</v>
      </c>
      <c r="AL870" s="3">
        <f t="shared" si="318"/>
        <v>0</v>
      </c>
      <c r="AM870" s="3">
        <f t="shared" si="319"/>
        <v>0</v>
      </c>
      <c r="AN870" s="3">
        <f t="shared" si="320"/>
        <v>0</v>
      </c>
      <c r="AO870" s="3">
        <f t="shared" si="321"/>
        <v>0</v>
      </c>
      <c r="AP870" s="1" t="str">
        <f>INDEX({"EAD";"EAD";"EAD";"EAD MOOC";"EAD";"EAD";"EAD FP";"EAD";"PRESENCIAL";"PRESENCIAL";"PRESENCIAL";"PRESENCIAL"}, MATCH(CONCATENATE(E870, ".", F870),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71" spans="1:42" x14ac:dyDescent="0.25">
      <c r="A871" s="1" t="s">
        <v>27</v>
      </c>
      <c r="B871" s="1" t="s">
        <v>50</v>
      </c>
      <c r="C871" s="1" t="s">
        <v>29</v>
      </c>
      <c r="D871" s="1" t="s">
        <v>51</v>
      </c>
      <c r="E871" s="1" t="s">
        <v>120</v>
      </c>
      <c r="F871" s="1" t="s">
        <v>21</v>
      </c>
      <c r="G871" s="1" t="s">
        <v>121</v>
      </c>
      <c r="H871" s="1" t="s">
        <v>123</v>
      </c>
      <c r="I871" s="1" t="s">
        <v>124</v>
      </c>
      <c r="J871" s="1" t="s">
        <v>125</v>
      </c>
      <c r="K871" s="1" t="s">
        <v>109</v>
      </c>
      <c r="L871" s="1">
        <v>2029379</v>
      </c>
      <c r="M871" s="1" t="s">
        <v>1044</v>
      </c>
      <c r="N871" s="5">
        <f>DATE(2016,5,23)</f>
        <v>42513</v>
      </c>
      <c r="O871" s="5">
        <f>DATE(2020,5,22)</f>
        <v>43973</v>
      </c>
      <c r="P871" s="5">
        <f t="shared" si="302"/>
        <v>45068</v>
      </c>
      <c r="Q871" s="1">
        <v>3100</v>
      </c>
      <c r="R871" s="1">
        <v>3000</v>
      </c>
      <c r="S871" s="1">
        <f t="shared" si="303"/>
        <v>3000</v>
      </c>
      <c r="T871" s="1">
        <v>1</v>
      </c>
      <c r="U871" s="1" t="str">
        <f t="shared" si="304"/>
        <v>NÃO</v>
      </c>
      <c r="V871" s="1">
        <f t="shared" si="305"/>
        <v>1461</v>
      </c>
      <c r="W871" s="4">
        <f t="shared" si="306"/>
        <v>2.0533880903490758</v>
      </c>
      <c r="X871" s="4">
        <f t="shared" si="307"/>
        <v>749.48665297741263</v>
      </c>
      <c r="Y871" s="4">
        <f t="shared" si="308"/>
        <v>0.93685831622176574</v>
      </c>
      <c r="AB871" s="5">
        <f t="shared" si="309"/>
        <v>45292</v>
      </c>
      <c r="AC871" s="5">
        <f t="shared" si="310"/>
        <v>45657</v>
      </c>
      <c r="AD871" s="1">
        <v>1</v>
      </c>
      <c r="AE871" s="1">
        <f t="shared" si="311"/>
        <v>0</v>
      </c>
      <c r="AF871" s="1">
        <f t="shared" si="312"/>
        <v>0</v>
      </c>
      <c r="AG871" s="1">
        <f t="shared" si="313"/>
        <v>0</v>
      </c>
      <c r="AH871" s="1">
        <f t="shared" si="314"/>
        <v>0</v>
      </c>
      <c r="AI871" s="1">
        <f t="shared" si="315"/>
        <v>183</v>
      </c>
      <c r="AJ871" s="3">
        <f t="shared" si="316"/>
        <v>0.5</v>
      </c>
      <c r="AK871" s="3">
        <f t="shared" si="317"/>
        <v>0.46842915811088287</v>
      </c>
      <c r="AL871" s="3">
        <f t="shared" si="318"/>
        <v>0</v>
      </c>
      <c r="AM871" s="3">
        <f t="shared" si="319"/>
        <v>0</v>
      </c>
      <c r="AN871" s="3">
        <f t="shared" si="320"/>
        <v>0</v>
      </c>
      <c r="AO871" s="3">
        <f t="shared" si="321"/>
        <v>0</v>
      </c>
      <c r="AP871" s="1" t="str">
        <f>INDEX({"EAD";"EAD";"EAD";"EAD MOOC";"EAD";"EAD";"EAD FP";"EAD";"PRESENCIAL";"PRESENCIAL";"PRESENCIAL";"PRESENCIAL"}, MATCH(CONCATENATE(E871, ".", F871),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72" spans="1:42" x14ac:dyDescent="0.25">
      <c r="A872" s="1" t="s">
        <v>27</v>
      </c>
      <c r="B872" s="1" t="s">
        <v>50</v>
      </c>
      <c r="C872" s="1" t="s">
        <v>29</v>
      </c>
      <c r="D872" s="1" t="s">
        <v>51</v>
      </c>
      <c r="E872" s="1" t="s">
        <v>120</v>
      </c>
      <c r="F872" s="1" t="s">
        <v>21</v>
      </c>
      <c r="G872" s="1" t="s">
        <v>121</v>
      </c>
      <c r="H872" s="1" t="s">
        <v>123</v>
      </c>
      <c r="I872" s="1" t="s">
        <v>124</v>
      </c>
      <c r="J872" s="1" t="s">
        <v>125</v>
      </c>
      <c r="K872" s="1" t="s">
        <v>109</v>
      </c>
      <c r="L872" s="1">
        <v>2167125</v>
      </c>
      <c r="M872" s="1" t="s">
        <v>1045</v>
      </c>
      <c r="N872" s="5">
        <f>DATE(2017,5,8)</f>
        <v>42863</v>
      </c>
      <c r="O872" s="5">
        <f>DATE(2021,5,8)</f>
        <v>44324</v>
      </c>
      <c r="P872" s="5">
        <f t="shared" si="302"/>
        <v>45419</v>
      </c>
      <c r="Q872" s="1">
        <v>3100</v>
      </c>
      <c r="R872" s="1">
        <v>3000</v>
      </c>
      <c r="S872" s="1">
        <f t="shared" si="303"/>
        <v>3000</v>
      </c>
      <c r="T872" s="1">
        <v>1</v>
      </c>
      <c r="U872" s="1" t="str">
        <f t="shared" si="304"/>
        <v>SIM</v>
      </c>
      <c r="V872" s="1">
        <f t="shared" si="305"/>
        <v>1462</v>
      </c>
      <c r="W872" s="4">
        <f t="shared" si="306"/>
        <v>2.0519835841313268</v>
      </c>
      <c r="X872" s="4">
        <f t="shared" si="307"/>
        <v>748.97400820793428</v>
      </c>
      <c r="Y872" s="4">
        <f t="shared" si="308"/>
        <v>0.93621751025991784</v>
      </c>
      <c r="AB872" s="5">
        <f t="shared" si="309"/>
        <v>45292</v>
      </c>
      <c r="AC872" s="5">
        <f t="shared" si="310"/>
        <v>45657</v>
      </c>
      <c r="AD872" s="1">
        <v>9</v>
      </c>
      <c r="AE872" s="1">
        <f t="shared" si="311"/>
        <v>0</v>
      </c>
      <c r="AF872" s="1">
        <f t="shared" si="312"/>
        <v>0</v>
      </c>
      <c r="AG872" s="1">
        <f t="shared" si="313"/>
        <v>0</v>
      </c>
      <c r="AH872" s="1">
        <f t="shared" si="314"/>
        <v>0</v>
      </c>
      <c r="AI872" s="1">
        <f t="shared" si="315"/>
        <v>183</v>
      </c>
      <c r="AJ872" s="3">
        <f t="shared" si="316"/>
        <v>0.5</v>
      </c>
      <c r="AK872" s="3">
        <f t="shared" si="317"/>
        <v>0.46810875512995892</v>
      </c>
      <c r="AL872" s="3">
        <f t="shared" si="318"/>
        <v>2.1064893980848152</v>
      </c>
      <c r="AM872" s="3">
        <f t="shared" si="319"/>
        <v>2.1064893980848152</v>
      </c>
      <c r="AN872" s="3">
        <f t="shared" si="320"/>
        <v>0</v>
      </c>
      <c r="AO872" s="3">
        <f t="shared" si="321"/>
        <v>2.1064893980848152</v>
      </c>
      <c r="AP872" s="1" t="str">
        <f>INDEX({"EAD";"EAD";"EAD";"EAD MOOC";"EAD";"EAD";"EAD FP";"EAD";"PRESENCIAL";"PRESENCIAL";"PRESENCIAL";"PRESENCIAL"}, MATCH(CONCATENATE(E872, ".", F872),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73" spans="1:42" x14ac:dyDescent="0.25">
      <c r="A873" s="1" t="s">
        <v>27</v>
      </c>
      <c r="B873" s="1" t="s">
        <v>50</v>
      </c>
      <c r="C873" s="1" t="s">
        <v>29</v>
      </c>
      <c r="D873" s="1" t="s">
        <v>51</v>
      </c>
      <c r="E873" s="1" t="s">
        <v>120</v>
      </c>
      <c r="F873" s="1" t="s">
        <v>21</v>
      </c>
      <c r="G873" s="1" t="s">
        <v>278</v>
      </c>
      <c r="H873" s="1" t="s">
        <v>405</v>
      </c>
      <c r="I873" s="1" t="s">
        <v>172</v>
      </c>
      <c r="J873" s="1" t="s">
        <v>125</v>
      </c>
      <c r="K873" s="1" t="s">
        <v>109</v>
      </c>
      <c r="L873" s="1">
        <v>2167159</v>
      </c>
      <c r="M873" s="1" t="s">
        <v>1046</v>
      </c>
      <c r="N873" s="5">
        <f>DATE(2017,5,8)</f>
        <v>42863</v>
      </c>
      <c r="O873" s="5">
        <f>DATE(2021,5,8)</f>
        <v>44324</v>
      </c>
      <c r="P873" s="5">
        <f t="shared" si="302"/>
        <v>45419</v>
      </c>
      <c r="Q873" s="1">
        <v>3420</v>
      </c>
      <c r="R873" s="1">
        <v>3200</v>
      </c>
      <c r="S873" s="1">
        <f t="shared" si="303"/>
        <v>3200</v>
      </c>
      <c r="T873" s="1">
        <v>2.5</v>
      </c>
      <c r="U873" s="1" t="str">
        <f t="shared" si="304"/>
        <v>SIM</v>
      </c>
      <c r="V873" s="1">
        <f t="shared" si="305"/>
        <v>1462</v>
      </c>
      <c r="W873" s="4">
        <f t="shared" si="306"/>
        <v>2.188782489740082</v>
      </c>
      <c r="X873" s="4">
        <f t="shared" si="307"/>
        <v>798.90560875512995</v>
      </c>
      <c r="Y873" s="4">
        <f t="shared" si="308"/>
        <v>0.99863201094391241</v>
      </c>
      <c r="AB873" s="5">
        <f t="shared" si="309"/>
        <v>45292</v>
      </c>
      <c r="AC873" s="5">
        <f t="shared" si="310"/>
        <v>45657</v>
      </c>
      <c r="AD873" s="1">
        <v>12</v>
      </c>
      <c r="AE873" s="1">
        <f t="shared" si="311"/>
        <v>0</v>
      </c>
      <c r="AF873" s="1">
        <f t="shared" si="312"/>
        <v>0</v>
      </c>
      <c r="AG873" s="1">
        <f t="shared" si="313"/>
        <v>0</v>
      </c>
      <c r="AH873" s="1">
        <f t="shared" si="314"/>
        <v>0</v>
      </c>
      <c r="AI873" s="1">
        <f t="shared" si="315"/>
        <v>183</v>
      </c>
      <c r="AJ873" s="3">
        <f t="shared" si="316"/>
        <v>0.5</v>
      </c>
      <c r="AK873" s="3">
        <f t="shared" si="317"/>
        <v>0.4993160054719562</v>
      </c>
      <c r="AL873" s="3">
        <f t="shared" si="318"/>
        <v>2.9958960328317374</v>
      </c>
      <c r="AM873" s="3">
        <f t="shared" si="319"/>
        <v>7.4897400820793436</v>
      </c>
      <c r="AN873" s="3">
        <f t="shared" si="320"/>
        <v>0</v>
      </c>
      <c r="AO873" s="3">
        <f t="shared" si="321"/>
        <v>7.4897400820793436</v>
      </c>
      <c r="AP873" s="1" t="str">
        <f>INDEX({"EAD";"EAD";"EAD";"EAD MOOC";"EAD";"EAD";"EAD FP";"EAD";"PRESENCIAL";"PRESENCIAL";"PRESENCIAL";"PRESENCIAL"}, MATCH(CONCATENATE(E873, ".", F873),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74" spans="1:42" x14ac:dyDescent="0.25">
      <c r="A874" s="1" t="s">
        <v>27</v>
      </c>
      <c r="B874" s="1" t="s">
        <v>50</v>
      </c>
      <c r="C874" s="1" t="s">
        <v>29</v>
      </c>
      <c r="D874" s="1" t="s">
        <v>51</v>
      </c>
      <c r="E874" s="1" t="s">
        <v>120</v>
      </c>
      <c r="F874" s="1" t="s">
        <v>21</v>
      </c>
      <c r="G874" s="1" t="s">
        <v>278</v>
      </c>
      <c r="H874" s="1" t="s">
        <v>320</v>
      </c>
      <c r="I874" s="1" t="s">
        <v>172</v>
      </c>
      <c r="J874" s="1" t="s">
        <v>125</v>
      </c>
      <c r="K874" s="1" t="s">
        <v>109</v>
      </c>
      <c r="L874" s="1">
        <v>2167160</v>
      </c>
      <c r="M874" s="1" t="s">
        <v>1047</v>
      </c>
      <c r="N874" s="5">
        <f>DATE(2017,5,8)</f>
        <v>42863</v>
      </c>
      <c r="O874" s="5">
        <f>DATE(2021,5,8)</f>
        <v>44324</v>
      </c>
      <c r="P874" s="5">
        <f t="shared" si="302"/>
        <v>45419</v>
      </c>
      <c r="Q874" s="1">
        <v>3048</v>
      </c>
      <c r="R874" s="1">
        <v>3200</v>
      </c>
      <c r="S874" s="1">
        <f t="shared" si="303"/>
        <v>3200</v>
      </c>
      <c r="T874" s="1">
        <v>2.5</v>
      </c>
      <c r="U874" s="1" t="str">
        <f t="shared" si="304"/>
        <v>SIM</v>
      </c>
      <c r="V874" s="1">
        <f t="shared" si="305"/>
        <v>1462</v>
      </c>
      <c r="W874" s="4">
        <f t="shared" si="306"/>
        <v>2.0848153214774281</v>
      </c>
      <c r="X874" s="4">
        <f t="shared" si="307"/>
        <v>760.95759233926128</v>
      </c>
      <c r="Y874" s="4">
        <f t="shared" si="308"/>
        <v>0.95119699042407657</v>
      </c>
      <c r="AB874" s="5">
        <f t="shared" si="309"/>
        <v>45292</v>
      </c>
      <c r="AC874" s="5">
        <f t="shared" si="310"/>
        <v>45657</v>
      </c>
      <c r="AD874" s="1">
        <v>8</v>
      </c>
      <c r="AE874" s="1">
        <f t="shared" si="311"/>
        <v>0</v>
      </c>
      <c r="AF874" s="1">
        <f t="shared" si="312"/>
        <v>0</v>
      </c>
      <c r="AG874" s="1">
        <f t="shared" si="313"/>
        <v>0</v>
      </c>
      <c r="AH874" s="1">
        <f t="shared" si="314"/>
        <v>0</v>
      </c>
      <c r="AI874" s="1">
        <f t="shared" si="315"/>
        <v>183</v>
      </c>
      <c r="AJ874" s="3">
        <f t="shared" si="316"/>
        <v>0.5</v>
      </c>
      <c r="AK874" s="3">
        <f t="shared" si="317"/>
        <v>0.47559849521203829</v>
      </c>
      <c r="AL874" s="3">
        <f t="shared" si="318"/>
        <v>1.9023939808481531</v>
      </c>
      <c r="AM874" s="3">
        <f t="shared" si="319"/>
        <v>4.7559849521203832</v>
      </c>
      <c r="AN874" s="3">
        <f t="shared" si="320"/>
        <v>0</v>
      </c>
      <c r="AO874" s="3">
        <f t="shared" si="321"/>
        <v>4.7559849521203832</v>
      </c>
      <c r="AP874" s="1" t="str">
        <f>INDEX({"EAD";"EAD";"EAD";"EAD MOOC";"EAD";"EAD";"EAD FP";"EAD";"PRESENCIAL";"PRESENCIAL";"PRESENCIAL";"PRESENCIAL"}, MATCH(CONCATENATE(E874, ".", F874),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75" spans="1:42" x14ac:dyDescent="0.25">
      <c r="A875" s="1" t="s">
        <v>27</v>
      </c>
      <c r="B875" s="1" t="s">
        <v>50</v>
      </c>
      <c r="C875" s="1" t="s">
        <v>29</v>
      </c>
      <c r="D875" s="1" t="s">
        <v>51</v>
      </c>
      <c r="E875" s="1" t="s">
        <v>120</v>
      </c>
      <c r="F875" s="1" t="s">
        <v>21</v>
      </c>
      <c r="G875" s="1" t="s">
        <v>121</v>
      </c>
      <c r="H875" s="1" t="s">
        <v>123</v>
      </c>
      <c r="I875" s="1" t="s">
        <v>124</v>
      </c>
      <c r="J875" s="1" t="s">
        <v>125</v>
      </c>
      <c r="K875" s="1" t="s">
        <v>109</v>
      </c>
      <c r="L875" s="1">
        <v>2502964</v>
      </c>
      <c r="M875" s="1" t="s">
        <v>1048</v>
      </c>
      <c r="N875" s="5">
        <f>DATE(2018,4,16)</f>
        <v>43206</v>
      </c>
      <c r="O875" s="5">
        <f>DATE(2021,12,30)</f>
        <v>44560</v>
      </c>
      <c r="P875" s="5">
        <f t="shared" si="302"/>
        <v>45655</v>
      </c>
      <c r="Q875" s="1">
        <v>3208</v>
      </c>
      <c r="R875" s="1">
        <v>3000</v>
      </c>
      <c r="S875" s="1">
        <f t="shared" si="303"/>
        <v>3000</v>
      </c>
      <c r="T875" s="1">
        <v>1</v>
      </c>
      <c r="U875" s="1" t="str">
        <f t="shared" si="304"/>
        <v>SIM</v>
      </c>
      <c r="V875" s="1">
        <f t="shared" si="305"/>
        <v>1355</v>
      </c>
      <c r="W875" s="4">
        <f t="shared" si="306"/>
        <v>2.2140221402214024</v>
      </c>
      <c r="X875" s="4">
        <f t="shared" si="307"/>
        <v>808.11808118081194</v>
      </c>
      <c r="Y875" s="4">
        <f t="shared" si="308"/>
        <v>1.0101476014760149</v>
      </c>
      <c r="AB875" s="5">
        <f t="shared" si="309"/>
        <v>45292</v>
      </c>
      <c r="AC875" s="5">
        <f t="shared" si="310"/>
        <v>45657</v>
      </c>
      <c r="AD875" s="1">
        <v>9</v>
      </c>
      <c r="AE875" s="1">
        <f t="shared" si="311"/>
        <v>0</v>
      </c>
      <c r="AF875" s="1">
        <f t="shared" si="312"/>
        <v>0</v>
      </c>
      <c r="AG875" s="1">
        <f t="shared" si="313"/>
        <v>0</v>
      </c>
      <c r="AH875" s="1">
        <f t="shared" si="314"/>
        <v>0</v>
      </c>
      <c r="AI875" s="1">
        <f t="shared" si="315"/>
        <v>183</v>
      </c>
      <c r="AJ875" s="3">
        <f t="shared" si="316"/>
        <v>0.5</v>
      </c>
      <c r="AK875" s="3">
        <f t="shared" si="317"/>
        <v>0.50507380073800745</v>
      </c>
      <c r="AL875" s="3">
        <f t="shared" si="318"/>
        <v>2.2728321033210337</v>
      </c>
      <c r="AM875" s="3">
        <f t="shared" si="319"/>
        <v>2.2728321033210337</v>
      </c>
      <c r="AN875" s="3">
        <f t="shared" si="320"/>
        <v>0</v>
      </c>
      <c r="AO875" s="3">
        <f t="shared" si="321"/>
        <v>2.2728321033210337</v>
      </c>
      <c r="AP875" s="1" t="str">
        <f>INDEX({"EAD";"EAD";"EAD";"EAD MOOC";"EAD";"EAD";"EAD FP";"EAD";"PRESENCIAL";"PRESENCIAL";"PRESENCIAL";"PRESENCIAL"}, MATCH(CONCATENATE(E875, ".", F875),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76" spans="1:42" x14ac:dyDescent="0.25">
      <c r="A876" s="1" t="s">
        <v>27</v>
      </c>
      <c r="B876" s="1" t="s">
        <v>50</v>
      </c>
      <c r="C876" s="1" t="s">
        <v>29</v>
      </c>
      <c r="D876" s="1" t="s">
        <v>51</v>
      </c>
      <c r="E876" s="1" t="s">
        <v>120</v>
      </c>
      <c r="F876" s="1" t="s">
        <v>21</v>
      </c>
      <c r="G876" s="1" t="s">
        <v>278</v>
      </c>
      <c r="H876" s="1" t="s">
        <v>320</v>
      </c>
      <c r="I876" s="1" t="s">
        <v>172</v>
      </c>
      <c r="J876" s="1" t="s">
        <v>125</v>
      </c>
      <c r="K876" s="1" t="s">
        <v>109</v>
      </c>
      <c r="L876" s="1">
        <v>2502967</v>
      </c>
      <c r="M876" s="1" t="s">
        <v>1049</v>
      </c>
      <c r="N876" s="5">
        <f>DATE(2018,4,16)</f>
        <v>43206</v>
      </c>
      <c r="O876" s="5">
        <f>DATE(2021,12,30)</f>
        <v>44560</v>
      </c>
      <c r="P876" s="5">
        <f t="shared" si="302"/>
        <v>45655</v>
      </c>
      <c r="Q876" s="1">
        <v>3048</v>
      </c>
      <c r="R876" s="1">
        <v>3200</v>
      </c>
      <c r="S876" s="1">
        <f t="shared" si="303"/>
        <v>3200</v>
      </c>
      <c r="T876" s="1">
        <v>2.5</v>
      </c>
      <c r="U876" s="1" t="str">
        <f t="shared" si="304"/>
        <v>SIM</v>
      </c>
      <c r="V876" s="1">
        <f t="shared" si="305"/>
        <v>1355</v>
      </c>
      <c r="W876" s="4">
        <f t="shared" si="306"/>
        <v>2.2494464944649448</v>
      </c>
      <c r="X876" s="4">
        <f t="shared" si="307"/>
        <v>821.04797047970487</v>
      </c>
      <c r="Y876" s="4">
        <f t="shared" si="308"/>
        <v>1.0263099630996311</v>
      </c>
      <c r="AB876" s="5">
        <f t="shared" si="309"/>
        <v>45292</v>
      </c>
      <c r="AC876" s="5">
        <f t="shared" si="310"/>
        <v>45657</v>
      </c>
      <c r="AD876" s="1">
        <v>6</v>
      </c>
      <c r="AE876" s="1">
        <f t="shared" si="311"/>
        <v>0</v>
      </c>
      <c r="AF876" s="1">
        <f t="shared" si="312"/>
        <v>0</v>
      </c>
      <c r="AG876" s="1">
        <f t="shared" si="313"/>
        <v>0</v>
      </c>
      <c r="AH876" s="1">
        <f t="shared" si="314"/>
        <v>0</v>
      </c>
      <c r="AI876" s="1">
        <f t="shared" si="315"/>
        <v>183</v>
      </c>
      <c r="AJ876" s="3">
        <f t="shared" si="316"/>
        <v>0.5</v>
      </c>
      <c r="AK876" s="3">
        <f t="shared" si="317"/>
        <v>0.51315498154981554</v>
      </c>
      <c r="AL876" s="3">
        <f t="shared" si="318"/>
        <v>1.5394649446494466</v>
      </c>
      <c r="AM876" s="3">
        <f t="shared" si="319"/>
        <v>3.8486623616236164</v>
      </c>
      <c r="AN876" s="3">
        <f t="shared" si="320"/>
        <v>0</v>
      </c>
      <c r="AO876" s="3">
        <f t="shared" si="321"/>
        <v>3.8486623616236164</v>
      </c>
      <c r="AP876" s="1" t="str">
        <f>INDEX({"EAD";"EAD";"EAD";"EAD MOOC";"EAD";"EAD";"EAD FP";"EAD";"PRESENCIAL";"PRESENCIAL";"PRESENCIAL";"PRESENCIAL"}, MATCH(CONCATENATE(E876, ".", F876),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77" spans="1:42" x14ac:dyDescent="0.25">
      <c r="A877" s="1" t="s">
        <v>27</v>
      </c>
      <c r="B877" s="1" t="s">
        <v>50</v>
      </c>
      <c r="C877" s="1" t="s">
        <v>29</v>
      </c>
      <c r="D877" s="1" t="s">
        <v>51</v>
      </c>
      <c r="E877" s="1" t="s">
        <v>120</v>
      </c>
      <c r="F877" s="1" t="s">
        <v>21</v>
      </c>
      <c r="G877" s="1" t="s">
        <v>278</v>
      </c>
      <c r="H877" s="1" t="s">
        <v>405</v>
      </c>
      <c r="I877" s="1" t="s">
        <v>172</v>
      </c>
      <c r="J877" s="1" t="s">
        <v>125</v>
      </c>
      <c r="K877" s="1" t="s">
        <v>109</v>
      </c>
      <c r="L877" s="1">
        <v>2502969</v>
      </c>
      <c r="M877" s="1" t="s">
        <v>1050</v>
      </c>
      <c r="N877" s="5">
        <f>DATE(2018,4,16)</f>
        <v>43206</v>
      </c>
      <c r="O877" s="5">
        <f>DATE(2021,12,30)</f>
        <v>44560</v>
      </c>
      <c r="P877" s="5">
        <f t="shared" si="302"/>
        <v>45655</v>
      </c>
      <c r="Q877" s="1">
        <v>3420</v>
      </c>
      <c r="R877" s="1">
        <v>3200</v>
      </c>
      <c r="S877" s="1">
        <f t="shared" si="303"/>
        <v>3200</v>
      </c>
      <c r="T877" s="1">
        <v>2.5</v>
      </c>
      <c r="U877" s="1" t="str">
        <f t="shared" si="304"/>
        <v>SIM</v>
      </c>
      <c r="V877" s="1">
        <f t="shared" si="305"/>
        <v>1355</v>
      </c>
      <c r="W877" s="4">
        <f t="shared" si="306"/>
        <v>2.3616236162361623</v>
      </c>
      <c r="X877" s="4">
        <f t="shared" si="307"/>
        <v>861.99261992619927</v>
      </c>
      <c r="Y877" s="4">
        <f t="shared" si="308"/>
        <v>1.0774907749077491</v>
      </c>
      <c r="AB877" s="5">
        <f t="shared" si="309"/>
        <v>45292</v>
      </c>
      <c r="AC877" s="5">
        <f t="shared" si="310"/>
        <v>45657</v>
      </c>
      <c r="AD877" s="1">
        <v>7</v>
      </c>
      <c r="AE877" s="1">
        <f t="shared" si="311"/>
        <v>0</v>
      </c>
      <c r="AF877" s="1">
        <f t="shared" si="312"/>
        <v>0</v>
      </c>
      <c r="AG877" s="1">
        <f t="shared" si="313"/>
        <v>0</v>
      </c>
      <c r="AH877" s="1">
        <f t="shared" si="314"/>
        <v>0</v>
      </c>
      <c r="AI877" s="1">
        <f t="shared" si="315"/>
        <v>183</v>
      </c>
      <c r="AJ877" s="3">
        <f t="shared" si="316"/>
        <v>0.5</v>
      </c>
      <c r="AK877" s="3">
        <f t="shared" si="317"/>
        <v>0.53874538745387457</v>
      </c>
      <c r="AL877" s="3">
        <f t="shared" si="318"/>
        <v>1.8856088560885609</v>
      </c>
      <c r="AM877" s="3">
        <f t="shared" si="319"/>
        <v>4.7140221402214024</v>
      </c>
      <c r="AN877" s="3">
        <f t="shared" si="320"/>
        <v>0</v>
      </c>
      <c r="AO877" s="3">
        <f t="shared" si="321"/>
        <v>4.7140221402214024</v>
      </c>
      <c r="AP877" s="1" t="str">
        <f>INDEX({"EAD";"EAD";"EAD";"EAD MOOC";"EAD";"EAD";"EAD FP";"EAD";"PRESENCIAL";"PRESENCIAL";"PRESENCIAL";"PRESENCIAL"}, MATCH(CONCATENATE(E877, ".", F877),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78" spans="1:42" x14ac:dyDescent="0.25">
      <c r="A878" s="1" t="s">
        <v>27</v>
      </c>
      <c r="B878" s="1" t="s">
        <v>50</v>
      </c>
      <c r="C878" s="1" t="s">
        <v>29</v>
      </c>
      <c r="D878" s="1" t="s">
        <v>51</v>
      </c>
      <c r="E878" s="1" t="s">
        <v>120</v>
      </c>
      <c r="F878" s="1" t="s">
        <v>21</v>
      </c>
      <c r="G878" s="1" t="s">
        <v>128</v>
      </c>
      <c r="H878" s="1" t="s">
        <v>132</v>
      </c>
      <c r="I878" s="1" t="s">
        <v>107</v>
      </c>
      <c r="J878" s="1" t="s">
        <v>108</v>
      </c>
      <c r="K878" s="1" t="s">
        <v>130</v>
      </c>
      <c r="L878" s="1">
        <v>2581618</v>
      </c>
      <c r="M878" s="1" t="s">
        <v>1051</v>
      </c>
      <c r="N878" s="5">
        <f>DATE(2019,2,4)</f>
        <v>43500</v>
      </c>
      <c r="O878" s="5">
        <f>DATE(2021,12,23)</f>
        <v>44553</v>
      </c>
      <c r="P878" s="5">
        <f t="shared" si="302"/>
        <v>45648</v>
      </c>
      <c r="Q878" s="1">
        <v>4048</v>
      </c>
      <c r="R878" s="1">
        <v>1200</v>
      </c>
      <c r="S878" s="1">
        <f t="shared" si="303"/>
        <v>3200</v>
      </c>
      <c r="T878" s="1">
        <v>2.5</v>
      </c>
      <c r="U878" s="1" t="str">
        <f t="shared" si="304"/>
        <v>SIM</v>
      </c>
      <c r="V878" s="1">
        <f t="shared" si="305"/>
        <v>1054</v>
      </c>
      <c r="W878" s="4">
        <f t="shared" si="306"/>
        <v>3.0360531309297913</v>
      </c>
      <c r="X878" s="4">
        <f t="shared" si="307"/>
        <v>1108.1593927893739</v>
      </c>
      <c r="Y878" s="4">
        <f t="shared" si="308"/>
        <v>1.3851992409867173</v>
      </c>
      <c r="AB878" s="5">
        <f t="shared" si="309"/>
        <v>45292</v>
      </c>
      <c r="AC878" s="5">
        <f t="shared" si="310"/>
        <v>45657</v>
      </c>
      <c r="AD878" s="1">
        <v>1</v>
      </c>
      <c r="AE878" s="1">
        <f t="shared" si="311"/>
        <v>0</v>
      </c>
      <c r="AF878" s="1">
        <f t="shared" si="312"/>
        <v>0</v>
      </c>
      <c r="AG878" s="1">
        <f t="shared" si="313"/>
        <v>0</v>
      </c>
      <c r="AH878" s="1">
        <f t="shared" si="314"/>
        <v>0</v>
      </c>
      <c r="AI878" s="1">
        <f t="shared" si="315"/>
        <v>183</v>
      </c>
      <c r="AJ878" s="3">
        <f t="shared" si="316"/>
        <v>0.5</v>
      </c>
      <c r="AK878" s="3">
        <f t="shared" si="317"/>
        <v>0.69259962049335866</v>
      </c>
      <c r="AL878" s="3">
        <f t="shared" si="318"/>
        <v>0.34629981024667933</v>
      </c>
      <c r="AM878" s="3">
        <f t="shared" si="319"/>
        <v>0.86574952561669827</v>
      </c>
      <c r="AN878" s="3">
        <f t="shared" si="320"/>
        <v>0.43287476280834913</v>
      </c>
      <c r="AO878" s="3">
        <f t="shared" si="321"/>
        <v>1.2986242884250474</v>
      </c>
      <c r="AP878" s="1" t="str">
        <f>INDEX({"EAD";"EAD";"EAD";"EAD MOOC";"EAD";"EAD";"EAD FP";"EAD";"PRESENCIAL";"PRESENCIAL";"PRESENCIAL";"PRESENCIAL"}, MATCH(CONCATENATE(E878, ".", F878),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79" spans="1:42" x14ac:dyDescent="0.25">
      <c r="A879" s="1" t="s">
        <v>27</v>
      </c>
      <c r="B879" s="1" t="s">
        <v>50</v>
      </c>
      <c r="C879" s="1" t="s">
        <v>29</v>
      </c>
      <c r="D879" s="1" t="s">
        <v>51</v>
      </c>
      <c r="E879" s="1" t="s">
        <v>120</v>
      </c>
      <c r="F879" s="1" t="s">
        <v>21</v>
      </c>
      <c r="G879" s="1" t="s">
        <v>128</v>
      </c>
      <c r="H879" s="1" t="s">
        <v>907</v>
      </c>
      <c r="I879" s="1" t="s">
        <v>224</v>
      </c>
      <c r="J879" s="1" t="s">
        <v>125</v>
      </c>
      <c r="K879" s="1" t="s">
        <v>130</v>
      </c>
      <c r="L879" s="1">
        <v>2581712</v>
      </c>
      <c r="M879" s="1" t="s">
        <v>1052</v>
      </c>
      <c r="N879" s="5">
        <f>DATE(2019,2,4)</f>
        <v>43500</v>
      </c>
      <c r="O879" s="5">
        <f>DATE(2021,12,23)</f>
        <v>44553</v>
      </c>
      <c r="P879" s="5">
        <f t="shared" si="302"/>
        <v>45648</v>
      </c>
      <c r="Q879" s="1">
        <v>3980</v>
      </c>
      <c r="R879" s="1">
        <v>1200</v>
      </c>
      <c r="S879" s="1">
        <f t="shared" si="303"/>
        <v>3200</v>
      </c>
      <c r="T879" s="1">
        <v>1.5</v>
      </c>
      <c r="U879" s="1" t="str">
        <f t="shared" si="304"/>
        <v>SIM</v>
      </c>
      <c r="V879" s="1">
        <f t="shared" si="305"/>
        <v>1054</v>
      </c>
      <c r="W879" s="4">
        <f t="shared" si="306"/>
        <v>3.0360531309297913</v>
      </c>
      <c r="X879" s="4">
        <f t="shared" si="307"/>
        <v>1108.1593927893739</v>
      </c>
      <c r="Y879" s="4">
        <f t="shared" si="308"/>
        <v>1.3851992409867173</v>
      </c>
      <c r="AB879" s="5">
        <f t="shared" si="309"/>
        <v>45292</v>
      </c>
      <c r="AC879" s="5">
        <f t="shared" si="310"/>
        <v>45657</v>
      </c>
      <c r="AD879" s="1">
        <v>2</v>
      </c>
      <c r="AE879" s="1">
        <f t="shared" si="311"/>
        <v>0</v>
      </c>
      <c r="AF879" s="1">
        <f t="shared" si="312"/>
        <v>0</v>
      </c>
      <c r="AG879" s="1">
        <f t="shared" si="313"/>
        <v>0</v>
      </c>
      <c r="AH879" s="1">
        <f t="shared" si="314"/>
        <v>0</v>
      </c>
      <c r="AI879" s="1">
        <f t="shared" si="315"/>
        <v>183</v>
      </c>
      <c r="AJ879" s="3">
        <f t="shared" si="316"/>
        <v>0.5</v>
      </c>
      <c r="AK879" s="3">
        <f t="shared" si="317"/>
        <v>0.69259962049335866</v>
      </c>
      <c r="AL879" s="3">
        <f t="shared" si="318"/>
        <v>0.69259962049335866</v>
      </c>
      <c r="AM879" s="3">
        <f t="shared" si="319"/>
        <v>1.0388994307400381</v>
      </c>
      <c r="AN879" s="3">
        <f t="shared" si="320"/>
        <v>0</v>
      </c>
      <c r="AO879" s="3">
        <f t="shared" si="321"/>
        <v>1.0388994307400381</v>
      </c>
      <c r="AP879" s="1" t="str">
        <f>INDEX({"EAD";"EAD";"EAD";"EAD MOOC";"EAD";"EAD";"EAD FP";"EAD";"PRESENCIAL";"PRESENCIAL";"PRESENCIAL";"PRESENCIAL"}, MATCH(CONCATENATE(E879, ".", F879),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80" spans="1:42" x14ac:dyDescent="0.25">
      <c r="A880" s="1" t="s">
        <v>27</v>
      </c>
      <c r="B880" s="1" t="s">
        <v>50</v>
      </c>
      <c r="C880" s="1" t="s">
        <v>29</v>
      </c>
      <c r="D880" s="1" t="s">
        <v>51</v>
      </c>
      <c r="E880" s="1" t="s">
        <v>120</v>
      </c>
      <c r="F880" s="1" t="s">
        <v>21</v>
      </c>
      <c r="G880" s="1" t="s">
        <v>278</v>
      </c>
      <c r="H880" s="1" t="s">
        <v>405</v>
      </c>
      <c r="I880" s="1" t="s">
        <v>172</v>
      </c>
      <c r="J880" s="1" t="s">
        <v>125</v>
      </c>
      <c r="K880" s="1" t="s">
        <v>109</v>
      </c>
      <c r="L880" s="1">
        <v>2602048</v>
      </c>
      <c r="M880" s="1" t="s">
        <v>1053</v>
      </c>
      <c r="N880" s="5">
        <f>DATE(2019,4,2)</f>
        <v>43557</v>
      </c>
      <c r="O880" s="5">
        <f>DATE(2022,4,29)</f>
        <v>44680</v>
      </c>
      <c r="P880" s="5">
        <f t="shared" si="302"/>
        <v>45775</v>
      </c>
      <c r="Q880" s="1">
        <v>3420</v>
      </c>
      <c r="R880" s="1">
        <v>3200</v>
      </c>
      <c r="S880" s="1">
        <f t="shared" si="303"/>
        <v>3200</v>
      </c>
      <c r="T880" s="1">
        <v>2.5</v>
      </c>
      <c r="U880" s="1" t="str">
        <f t="shared" si="304"/>
        <v>SIM</v>
      </c>
      <c r="V880" s="1">
        <f t="shared" si="305"/>
        <v>1124</v>
      </c>
      <c r="W880" s="4">
        <f t="shared" si="306"/>
        <v>2.8469750889679717</v>
      </c>
      <c r="X880" s="4">
        <f t="shared" si="307"/>
        <v>1039.1459074733098</v>
      </c>
      <c r="Y880" s="4">
        <f t="shared" si="308"/>
        <v>1.2989323843416372</v>
      </c>
      <c r="AB880" s="5">
        <f t="shared" si="309"/>
        <v>45292</v>
      </c>
      <c r="AC880" s="5">
        <f t="shared" si="310"/>
        <v>45657</v>
      </c>
      <c r="AD880" s="1">
        <v>8</v>
      </c>
      <c r="AE880" s="1">
        <f t="shared" si="311"/>
        <v>0</v>
      </c>
      <c r="AF880" s="1">
        <f t="shared" si="312"/>
        <v>0</v>
      </c>
      <c r="AG880" s="1">
        <f t="shared" si="313"/>
        <v>0</v>
      </c>
      <c r="AH880" s="1">
        <f t="shared" si="314"/>
        <v>0</v>
      </c>
      <c r="AI880" s="1">
        <f t="shared" si="315"/>
        <v>183</v>
      </c>
      <c r="AJ880" s="3">
        <f t="shared" si="316"/>
        <v>0.5</v>
      </c>
      <c r="AK880" s="3">
        <f t="shared" si="317"/>
        <v>0.64946619217081858</v>
      </c>
      <c r="AL880" s="3">
        <f t="shared" si="318"/>
        <v>2.5978647686832743</v>
      </c>
      <c r="AM880" s="3">
        <f t="shared" si="319"/>
        <v>6.494661921708186</v>
      </c>
      <c r="AN880" s="3">
        <f t="shared" si="320"/>
        <v>0</v>
      </c>
      <c r="AO880" s="3">
        <f t="shared" si="321"/>
        <v>6.494661921708186</v>
      </c>
      <c r="AP880" s="1" t="str">
        <f>INDEX({"EAD";"EAD";"EAD";"EAD MOOC";"EAD";"EAD";"EAD FP";"EAD";"PRESENCIAL";"PRESENCIAL";"PRESENCIAL";"PRESENCIAL"}, MATCH(CONCATENATE(E880, ".", F880),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81" spans="1:42" x14ac:dyDescent="0.25">
      <c r="A881" s="1" t="s">
        <v>27</v>
      </c>
      <c r="B881" s="1" t="s">
        <v>50</v>
      </c>
      <c r="C881" s="1" t="s">
        <v>29</v>
      </c>
      <c r="D881" s="1" t="s">
        <v>51</v>
      </c>
      <c r="E881" s="1" t="s">
        <v>120</v>
      </c>
      <c r="F881" s="1" t="s">
        <v>21</v>
      </c>
      <c r="G881" s="1" t="s">
        <v>278</v>
      </c>
      <c r="H881" s="1" t="s">
        <v>320</v>
      </c>
      <c r="I881" s="1" t="s">
        <v>172</v>
      </c>
      <c r="J881" s="1" t="s">
        <v>125</v>
      </c>
      <c r="K881" s="1" t="s">
        <v>109</v>
      </c>
      <c r="L881" s="1">
        <v>2602098</v>
      </c>
      <c r="M881" s="1" t="s">
        <v>1054</v>
      </c>
      <c r="N881" s="5">
        <f>DATE(2019,4,3)</f>
        <v>43558</v>
      </c>
      <c r="O881" s="5">
        <f>DATE(2022,4,29)</f>
        <v>44680</v>
      </c>
      <c r="P881" s="5">
        <f t="shared" si="302"/>
        <v>45775</v>
      </c>
      <c r="Q881" s="1">
        <v>3400</v>
      </c>
      <c r="R881" s="1">
        <v>3200</v>
      </c>
      <c r="S881" s="1">
        <f t="shared" si="303"/>
        <v>3200</v>
      </c>
      <c r="T881" s="1">
        <v>2.5</v>
      </c>
      <c r="U881" s="1" t="str">
        <f t="shared" si="304"/>
        <v>SIM</v>
      </c>
      <c r="V881" s="1">
        <f t="shared" si="305"/>
        <v>1123</v>
      </c>
      <c r="W881" s="4">
        <f t="shared" si="306"/>
        <v>2.8495102404274264</v>
      </c>
      <c r="X881" s="4">
        <f t="shared" si="307"/>
        <v>1040.0712377560105</v>
      </c>
      <c r="Y881" s="4">
        <f t="shared" si="308"/>
        <v>1.3000890471950131</v>
      </c>
      <c r="AB881" s="5">
        <f t="shared" si="309"/>
        <v>45292</v>
      </c>
      <c r="AC881" s="5">
        <f t="shared" si="310"/>
        <v>45657</v>
      </c>
      <c r="AD881" s="1">
        <v>8</v>
      </c>
      <c r="AE881" s="1">
        <f t="shared" si="311"/>
        <v>0</v>
      </c>
      <c r="AF881" s="1">
        <f t="shared" si="312"/>
        <v>0</v>
      </c>
      <c r="AG881" s="1">
        <f t="shared" si="313"/>
        <v>0</v>
      </c>
      <c r="AH881" s="1">
        <f t="shared" si="314"/>
        <v>0</v>
      </c>
      <c r="AI881" s="1">
        <f t="shared" si="315"/>
        <v>183</v>
      </c>
      <c r="AJ881" s="3">
        <f t="shared" si="316"/>
        <v>0.5</v>
      </c>
      <c r="AK881" s="3">
        <f t="shared" si="317"/>
        <v>0.65004452359750653</v>
      </c>
      <c r="AL881" s="3">
        <f t="shared" si="318"/>
        <v>2.6001780943900261</v>
      </c>
      <c r="AM881" s="3">
        <f t="shared" si="319"/>
        <v>6.5004452359750653</v>
      </c>
      <c r="AN881" s="3">
        <f t="shared" si="320"/>
        <v>0</v>
      </c>
      <c r="AO881" s="3">
        <f t="shared" si="321"/>
        <v>6.5004452359750653</v>
      </c>
      <c r="AP881" s="1" t="str">
        <f>INDEX({"EAD";"EAD";"EAD";"EAD MOOC";"EAD";"EAD";"EAD FP";"EAD";"PRESENCIAL";"PRESENCIAL";"PRESENCIAL";"PRESENCIAL"}, MATCH(CONCATENATE(E881, ".", F881),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82" spans="1:42" x14ac:dyDescent="0.25">
      <c r="A882" s="1" t="s">
        <v>27</v>
      </c>
      <c r="B882" s="1" t="s">
        <v>50</v>
      </c>
      <c r="C882" s="1" t="s">
        <v>29</v>
      </c>
      <c r="D882" s="1" t="s">
        <v>51</v>
      </c>
      <c r="E882" s="1" t="s">
        <v>120</v>
      </c>
      <c r="F882" s="1" t="s">
        <v>21</v>
      </c>
      <c r="G882" s="1" t="s">
        <v>121</v>
      </c>
      <c r="H882" s="1" t="s">
        <v>123</v>
      </c>
      <c r="I882" s="1" t="s">
        <v>124</v>
      </c>
      <c r="J882" s="1" t="s">
        <v>125</v>
      </c>
      <c r="K882" s="1" t="s">
        <v>109</v>
      </c>
      <c r="L882" s="1">
        <v>2602045</v>
      </c>
      <c r="M882" s="1" t="s">
        <v>1055</v>
      </c>
      <c r="N882" s="5">
        <f>DATE(2019,4,4)</f>
        <v>43559</v>
      </c>
      <c r="O882" s="5">
        <f>DATE(2023,4,30)</f>
        <v>45046</v>
      </c>
      <c r="P882" s="5">
        <f t="shared" si="302"/>
        <v>46141</v>
      </c>
      <c r="Q882" s="1">
        <v>3208</v>
      </c>
      <c r="R882" s="1">
        <v>3000</v>
      </c>
      <c r="S882" s="1">
        <f t="shared" si="303"/>
        <v>3000</v>
      </c>
      <c r="T882" s="1">
        <v>1</v>
      </c>
      <c r="U882" s="1" t="str">
        <f t="shared" si="304"/>
        <v>SIM</v>
      </c>
      <c r="V882" s="1">
        <f t="shared" si="305"/>
        <v>1488</v>
      </c>
      <c r="W882" s="4">
        <f t="shared" si="306"/>
        <v>2.0161290322580645</v>
      </c>
      <c r="X882" s="4">
        <f t="shared" si="307"/>
        <v>735.88709677419354</v>
      </c>
      <c r="Y882" s="4">
        <f t="shared" si="308"/>
        <v>0.91985887096774188</v>
      </c>
      <c r="AB882" s="5">
        <f t="shared" si="309"/>
        <v>45292</v>
      </c>
      <c r="AC882" s="5">
        <f t="shared" si="310"/>
        <v>45657</v>
      </c>
      <c r="AD882" s="1">
        <v>22</v>
      </c>
      <c r="AE882" s="1">
        <f t="shared" si="311"/>
        <v>0</v>
      </c>
      <c r="AF882" s="1">
        <f t="shared" si="312"/>
        <v>0</v>
      </c>
      <c r="AG882" s="1">
        <f t="shared" si="313"/>
        <v>0</v>
      </c>
      <c r="AH882" s="1">
        <f t="shared" si="314"/>
        <v>0</v>
      </c>
      <c r="AI882" s="1">
        <f t="shared" si="315"/>
        <v>183</v>
      </c>
      <c r="AJ882" s="3">
        <f t="shared" si="316"/>
        <v>0.5</v>
      </c>
      <c r="AK882" s="3">
        <f t="shared" si="317"/>
        <v>0.45992943548387094</v>
      </c>
      <c r="AL882" s="3">
        <f t="shared" si="318"/>
        <v>5.0592237903225801</v>
      </c>
      <c r="AM882" s="3">
        <f t="shared" si="319"/>
        <v>5.0592237903225801</v>
      </c>
      <c r="AN882" s="3">
        <f t="shared" si="320"/>
        <v>0</v>
      </c>
      <c r="AO882" s="3">
        <f t="shared" si="321"/>
        <v>5.0592237903225801</v>
      </c>
      <c r="AP882" s="1" t="str">
        <f>INDEX({"EAD";"EAD";"EAD";"EAD MOOC";"EAD";"EAD";"EAD FP";"EAD";"PRESENCIAL";"PRESENCIAL";"PRESENCIAL";"PRESENCIAL"}, MATCH(CONCATENATE(E882, ".", F882),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83" spans="1:42" x14ac:dyDescent="0.25">
      <c r="A883" s="1" t="s">
        <v>27</v>
      </c>
      <c r="B883" s="1" t="s">
        <v>50</v>
      </c>
      <c r="C883" s="1" t="s">
        <v>29</v>
      </c>
      <c r="D883" s="1" t="s">
        <v>51</v>
      </c>
      <c r="E883" s="1" t="s">
        <v>120</v>
      </c>
      <c r="F883" s="1" t="s">
        <v>21</v>
      </c>
      <c r="G883" s="1" t="s">
        <v>128</v>
      </c>
      <c r="H883" s="1" t="s">
        <v>132</v>
      </c>
      <c r="I883" s="1" t="s">
        <v>107</v>
      </c>
      <c r="J883" s="1" t="s">
        <v>108</v>
      </c>
      <c r="K883" s="1" t="s">
        <v>130</v>
      </c>
      <c r="L883" s="1">
        <v>2687040</v>
      </c>
      <c r="M883" s="1" t="s">
        <v>1056</v>
      </c>
      <c r="N883" s="5">
        <f>DATE(2020,2,3)</f>
        <v>43864</v>
      </c>
      <c r="O883" s="5">
        <f>DATE(2022,12,23)</f>
        <v>44918</v>
      </c>
      <c r="P883" s="5">
        <f t="shared" si="302"/>
        <v>46013</v>
      </c>
      <c r="Q883" s="1">
        <v>4048</v>
      </c>
      <c r="R883" s="1">
        <v>1200</v>
      </c>
      <c r="S883" s="1">
        <f t="shared" si="303"/>
        <v>3200</v>
      </c>
      <c r="T883" s="1">
        <v>2.5</v>
      </c>
      <c r="U883" s="1" t="str">
        <f t="shared" si="304"/>
        <v>SIM</v>
      </c>
      <c r="V883" s="1">
        <f t="shared" si="305"/>
        <v>1055</v>
      </c>
      <c r="W883" s="4">
        <f t="shared" si="306"/>
        <v>3.0331753554502368</v>
      </c>
      <c r="X883" s="4">
        <f t="shared" si="307"/>
        <v>1107.1090047393363</v>
      </c>
      <c r="Y883" s="4">
        <f t="shared" si="308"/>
        <v>1.3838862559241705</v>
      </c>
      <c r="AB883" s="5">
        <f t="shared" si="309"/>
        <v>45292</v>
      </c>
      <c r="AC883" s="5">
        <f t="shared" si="310"/>
        <v>45657</v>
      </c>
      <c r="AD883" s="1">
        <v>3</v>
      </c>
      <c r="AE883" s="1">
        <f t="shared" si="311"/>
        <v>0</v>
      </c>
      <c r="AF883" s="1">
        <f t="shared" si="312"/>
        <v>0</v>
      </c>
      <c r="AG883" s="1">
        <f t="shared" si="313"/>
        <v>0</v>
      </c>
      <c r="AH883" s="1">
        <f t="shared" si="314"/>
        <v>0</v>
      </c>
      <c r="AI883" s="1">
        <f t="shared" si="315"/>
        <v>183</v>
      </c>
      <c r="AJ883" s="3">
        <f t="shared" si="316"/>
        <v>0.5</v>
      </c>
      <c r="AK883" s="3">
        <f t="shared" si="317"/>
        <v>0.69194312796208524</v>
      </c>
      <c r="AL883" s="3">
        <f t="shared" si="318"/>
        <v>1.0379146919431279</v>
      </c>
      <c r="AM883" s="3">
        <f t="shared" si="319"/>
        <v>2.5947867298578196</v>
      </c>
      <c r="AN883" s="3">
        <f t="shared" si="320"/>
        <v>1.2973933649289098</v>
      </c>
      <c r="AO883" s="3">
        <f t="shared" si="321"/>
        <v>3.8921800947867293</v>
      </c>
      <c r="AP883" s="1" t="str">
        <f>INDEX({"EAD";"EAD";"EAD";"EAD MOOC";"EAD";"EAD";"EAD FP";"EAD";"PRESENCIAL";"PRESENCIAL";"PRESENCIAL";"PRESENCIAL"}, MATCH(CONCATENATE(E883, ".", F883),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84" spans="1:42" x14ac:dyDescent="0.25">
      <c r="A884" s="1" t="s">
        <v>27</v>
      </c>
      <c r="B884" s="1" t="s">
        <v>50</v>
      </c>
      <c r="C884" s="1" t="s">
        <v>29</v>
      </c>
      <c r="D884" s="1" t="s">
        <v>51</v>
      </c>
      <c r="E884" s="1" t="s">
        <v>120</v>
      </c>
      <c r="F884" s="1" t="s">
        <v>21</v>
      </c>
      <c r="G884" s="1" t="s">
        <v>128</v>
      </c>
      <c r="H884" s="1" t="s">
        <v>907</v>
      </c>
      <c r="I884" s="1" t="s">
        <v>224</v>
      </c>
      <c r="J884" s="1" t="s">
        <v>125</v>
      </c>
      <c r="K884" s="1" t="s">
        <v>130</v>
      </c>
      <c r="L884" s="1">
        <v>2690044</v>
      </c>
      <c r="M884" s="1" t="s">
        <v>928</v>
      </c>
      <c r="N884" s="5">
        <f>DATE(2020,2,3)</f>
        <v>43864</v>
      </c>
      <c r="O884" s="5">
        <f>DATE(2022,12,23)</f>
        <v>44918</v>
      </c>
      <c r="P884" s="5">
        <f t="shared" si="302"/>
        <v>46013</v>
      </c>
      <c r="Q884" s="1">
        <v>3980</v>
      </c>
      <c r="R884" s="1">
        <v>1200</v>
      </c>
      <c r="S884" s="1">
        <f t="shared" si="303"/>
        <v>3200</v>
      </c>
      <c r="T884" s="1">
        <v>1.5</v>
      </c>
      <c r="U884" s="1" t="str">
        <f t="shared" si="304"/>
        <v>SIM</v>
      </c>
      <c r="V884" s="1">
        <f t="shared" si="305"/>
        <v>1055</v>
      </c>
      <c r="W884" s="4">
        <f t="shared" si="306"/>
        <v>3.0331753554502368</v>
      </c>
      <c r="X884" s="4">
        <f t="shared" si="307"/>
        <v>1107.1090047393363</v>
      </c>
      <c r="Y884" s="4">
        <f t="shared" si="308"/>
        <v>1.3838862559241705</v>
      </c>
      <c r="AB884" s="5">
        <f t="shared" si="309"/>
        <v>45292</v>
      </c>
      <c r="AC884" s="5">
        <f t="shared" si="310"/>
        <v>45657</v>
      </c>
      <c r="AD884" s="1">
        <v>2</v>
      </c>
      <c r="AE884" s="1">
        <f t="shared" si="311"/>
        <v>0</v>
      </c>
      <c r="AF884" s="1">
        <f t="shared" si="312"/>
        <v>0</v>
      </c>
      <c r="AG884" s="1">
        <f t="shared" si="313"/>
        <v>0</v>
      </c>
      <c r="AH884" s="1">
        <f t="shared" si="314"/>
        <v>0</v>
      </c>
      <c r="AI884" s="1">
        <f t="shared" si="315"/>
        <v>183</v>
      </c>
      <c r="AJ884" s="3">
        <f t="shared" si="316"/>
        <v>0.5</v>
      </c>
      <c r="AK884" s="3">
        <f t="shared" si="317"/>
        <v>0.69194312796208524</v>
      </c>
      <c r="AL884" s="3">
        <f t="shared" si="318"/>
        <v>0.69194312796208524</v>
      </c>
      <c r="AM884" s="3">
        <f t="shared" si="319"/>
        <v>1.0379146919431279</v>
      </c>
      <c r="AN884" s="3">
        <f t="shared" si="320"/>
        <v>0</v>
      </c>
      <c r="AO884" s="3">
        <f t="shared" si="321"/>
        <v>1.0379146919431279</v>
      </c>
      <c r="AP884" s="1" t="str">
        <f>INDEX({"EAD";"EAD";"EAD";"EAD MOOC";"EAD";"EAD";"EAD FP";"EAD";"PRESENCIAL";"PRESENCIAL";"PRESENCIAL";"PRESENCIAL"}, MATCH(CONCATENATE(E884, ".", F884),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85" spans="1:42" x14ac:dyDescent="0.25">
      <c r="A885" s="1" t="s">
        <v>27</v>
      </c>
      <c r="B885" s="1" t="s">
        <v>50</v>
      </c>
      <c r="C885" s="1" t="s">
        <v>29</v>
      </c>
      <c r="D885" s="1" t="s">
        <v>51</v>
      </c>
      <c r="E885" s="1" t="s">
        <v>120</v>
      </c>
      <c r="F885" s="1" t="s">
        <v>21</v>
      </c>
      <c r="G885" s="1" t="s">
        <v>121</v>
      </c>
      <c r="H885" s="1" t="s">
        <v>123</v>
      </c>
      <c r="I885" s="1" t="s">
        <v>124</v>
      </c>
      <c r="J885" s="1" t="s">
        <v>125</v>
      </c>
      <c r="K885" s="1" t="s">
        <v>109</v>
      </c>
      <c r="L885" s="1">
        <v>2693824</v>
      </c>
      <c r="M885" s="1" t="s">
        <v>1057</v>
      </c>
      <c r="N885" s="5">
        <f>DATE(2020,2,20)</f>
        <v>43881</v>
      </c>
      <c r="O885" s="5">
        <f>DATE(2023,12,29)</f>
        <v>45289</v>
      </c>
      <c r="P885" s="5">
        <f t="shared" si="302"/>
        <v>46384</v>
      </c>
      <c r="Q885" s="1">
        <v>3208</v>
      </c>
      <c r="R885" s="1">
        <v>3000</v>
      </c>
      <c r="S885" s="1">
        <f t="shared" si="303"/>
        <v>3000</v>
      </c>
      <c r="T885" s="1">
        <v>1</v>
      </c>
      <c r="U885" s="1" t="str">
        <f t="shared" si="304"/>
        <v>SIM</v>
      </c>
      <c r="V885" s="1">
        <f t="shared" si="305"/>
        <v>1409</v>
      </c>
      <c r="W885" s="4">
        <f t="shared" si="306"/>
        <v>2.1291696238466997</v>
      </c>
      <c r="X885" s="4">
        <f t="shared" si="307"/>
        <v>777.14691270404535</v>
      </c>
      <c r="Y885" s="4">
        <f t="shared" si="308"/>
        <v>0.97143364088005668</v>
      </c>
      <c r="AB885" s="5">
        <f t="shared" si="309"/>
        <v>45292</v>
      </c>
      <c r="AC885" s="5">
        <f t="shared" si="310"/>
        <v>45657</v>
      </c>
      <c r="AD885" s="1">
        <v>18</v>
      </c>
      <c r="AE885" s="1">
        <f t="shared" si="311"/>
        <v>0</v>
      </c>
      <c r="AF885" s="1">
        <f t="shared" si="312"/>
        <v>0</v>
      </c>
      <c r="AG885" s="1">
        <f t="shared" si="313"/>
        <v>0</v>
      </c>
      <c r="AH885" s="1">
        <f t="shared" si="314"/>
        <v>0</v>
      </c>
      <c r="AI885" s="1">
        <f t="shared" si="315"/>
        <v>183</v>
      </c>
      <c r="AJ885" s="3">
        <f t="shared" si="316"/>
        <v>0.5</v>
      </c>
      <c r="AK885" s="3">
        <f t="shared" si="317"/>
        <v>0.48571682044002834</v>
      </c>
      <c r="AL885" s="3">
        <f t="shared" si="318"/>
        <v>4.3714513839602551</v>
      </c>
      <c r="AM885" s="3">
        <f t="shared" si="319"/>
        <v>4.3714513839602551</v>
      </c>
      <c r="AN885" s="3">
        <f t="shared" si="320"/>
        <v>0</v>
      </c>
      <c r="AO885" s="3">
        <f t="shared" si="321"/>
        <v>4.3714513839602551</v>
      </c>
      <c r="AP885" s="1" t="str">
        <f>INDEX({"EAD";"EAD";"EAD";"EAD MOOC";"EAD";"EAD";"EAD FP";"EAD";"PRESENCIAL";"PRESENCIAL";"PRESENCIAL";"PRESENCIAL"}, MATCH(CONCATENATE(E885, ".", F885),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86" spans="1:42" x14ac:dyDescent="0.25">
      <c r="A886" s="1" t="s">
        <v>27</v>
      </c>
      <c r="B886" s="1" t="s">
        <v>50</v>
      </c>
      <c r="C886" s="1" t="s">
        <v>29</v>
      </c>
      <c r="D886" s="1" t="s">
        <v>51</v>
      </c>
      <c r="E886" s="1" t="s">
        <v>120</v>
      </c>
      <c r="F886" s="1" t="s">
        <v>21</v>
      </c>
      <c r="G886" s="1" t="s">
        <v>278</v>
      </c>
      <c r="H886" s="1" t="s">
        <v>405</v>
      </c>
      <c r="I886" s="1" t="s">
        <v>172</v>
      </c>
      <c r="J886" s="1" t="s">
        <v>125</v>
      </c>
      <c r="K886" s="1" t="s">
        <v>109</v>
      </c>
      <c r="L886" s="1">
        <v>2693825</v>
      </c>
      <c r="M886" s="1" t="s">
        <v>1058</v>
      </c>
      <c r="N886" s="5">
        <f>DATE(2020,2,20)</f>
        <v>43881</v>
      </c>
      <c r="O886" s="5">
        <f>DATE(2023,12,29)</f>
        <v>45289</v>
      </c>
      <c r="P886" s="5">
        <f t="shared" si="302"/>
        <v>46384</v>
      </c>
      <c r="Q886" s="1">
        <v>2997</v>
      </c>
      <c r="R886" s="1">
        <v>3200</v>
      </c>
      <c r="S886" s="1">
        <f t="shared" si="303"/>
        <v>3200</v>
      </c>
      <c r="T886" s="1">
        <v>2.5</v>
      </c>
      <c r="U886" s="1" t="str">
        <f t="shared" si="304"/>
        <v>SIM</v>
      </c>
      <c r="V886" s="1">
        <f t="shared" si="305"/>
        <v>1409</v>
      </c>
      <c r="W886" s="4">
        <f t="shared" si="306"/>
        <v>2.1270404542228531</v>
      </c>
      <c r="X886" s="4">
        <f t="shared" si="307"/>
        <v>776.36976579134137</v>
      </c>
      <c r="Y886" s="4">
        <f t="shared" si="308"/>
        <v>0.97046220723917676</v>
      </c>
      <c r="AB886" s="5">
        <f t="shared" si="309"/>
        <v>45292</v>
      </c>
      <c r="AC886" s="5">
        <f t="shared" si="310"/>
        <v>45657</v>
      </c>
      <c r="AD886" s="1">
        <v>15</v>
      </c>
      <c r="AE886" s="1">
        <f t="shared" si="311"/>
        <v>0</v>
      </c>
      <c r="AF886" s="1">
        <f t="shared" si="312"/>
        <v>0</v>
      </c>
      <c r="AG886" s="1">
        <f t="shared" si="313"/>
        <v>0</v>
      </c>
      <c r="AH886" s="1">
        <f t="shared" si="314"/>
        <v>0</v>
      </c>
      <c r="AI886" s="1">
        <f t="shared" si="315"/>
        <v>183</v>
      </c>
      <c r="AJ886" s="3">
        <f t="shared" si="316"/>
        <v>0.5</v>
      </c>
      <c r="AK886" s="3">
        <f t="shared" si="317"/>
        <v>0.48523110361958838</v>
      </c>
      <c r="AL886" s="3">
        <f t="shared" si="318"/>
        <v>3.6392332771469129</v>
      </c>
      <c r="AM886" s="3">
        <f t="shared" si="319"/>
        <v>9.0980831928672821</v>
      </c>
      <c r="AN886" s="3">
        <f t="shared" si="320"/>
        <v>0</v>
      </c>
      <c r="AO886" s="3">
        <f t="shared" si="321"/>
        <v>9.0980831928672821</v>
      </c>
      <c r="AP886" s="1" t="str">
        <f>INDEX({"EAD";"EAD";"EAD";"EAD MOOC";"EAD";"EAD";"EAD FP";"EAD";"PRESENCIAL";"PRESENCIAL";"PRESENCIAL";"PRESENCIAL"}, MATCH(CONCATENATE(E886, ".", F886),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87" spans="1:42" x14ac:dyDescent="0.25">
      <c r="A887" s="1" t="s">
        <v>27</v>
      </c>
      <c r="B887" s="1" t="s">
        <v>50</v>
      </c>
      <c r="C887" s="1" t="s">
        <v>29</v>
      </c>
      <c r="D887" s="1" t="s">
        <v>51</v>
      </c>
      <c r="E887" s="1" t="s">
        <v>120</v>
      </c>
      <c r="F887" s="1" t="s">
        <v>21</v>
      </c>
      <c r="G887" s="1" t="s">
        <v>278</v>
      </c>
      <c r="H887" s="1" t="s">
        <v>320</v>
      </c>
      <c r="I887" s="1" t="s">
        <v>172</v>
      </c>
      <c r="J887" s="1" t="s">
        <v>125</v>
      </c>
      <c r="K887" s="1" t="s">
        <v>109</v>
      </c>
      <c r="L887" s="1">
        <v>2693827</v>
      </c>
      <c r="M887" s="1" t="s">
        <v>1059</v>
      </c>
      <c r="N887" s="5">
        <f>DATE(2020,2,20)</f>
        <v>43881</v>
      </c>
      <c r="O887" s="5">
        <f>DATE(2023,12,29)</f>
        <v>45289</v>
      </c>
      <c r="P887" s="5">
        <f t="shared" si="302"/>
        <v>46384</v>
      </c>
      <c r="Q887" s="1">
        <v>3054</v>
      </c>
      <c r="R887" s="1">
        <v>3200</v>
      </c>
      <c r="S887" s="1">
        <f t="shared" si="303"/>
        <v>3200</v>
      </c>
      <c r="T887" s="1">
        <v>2.5</v>
      </c>
      <c r="U887" s="1" t="str">
        <f t="shared" si="304"/>
        <v>SIM</v>
      </c>
      <c r="V887" s="1">
        <f t="shared" si="305"/>
        <v>1409</v>
      </c>
      <c r="W887" s="4">
        <f t="shared" si="306"/>
        <v>2.1674946770759402</v>
      </c>
      <c r="X887" s="4">
        <f t="shared" si="307"/>
        <v>791.13555713271819</v>
      </c>
      <c r="Y887" s="4">
        <f t="shared" si="308"/>
        <v>0.98891944641589768</v>
      </c>
      <c r="AB887" s="5">
        <f t="shared" si="309"/>
        <v>45292</v>
      </c>
      <c r="AC887" s="5">
        <f t="shared" si="310"/>
        <v>45657</v>
      </c>
      <c r="AD887" s="1">
        <v>1</v>
      </c>
      <c r="AE887" s="1">
        <f t="shared" si="311"/>
        <v>0</v>
      </c>
      <c r="AF887" s="1">
        <f t="shared" si="312"/>
        <v>0</v>
      </c>
      <c r="AG887" s="1">
        <f t="shared" si="313"/>
        <v>0</v>
      </c>
      <c r="AH887" s="1">
        <f t="shared" si="314"/>
        <v>0</v>
      </c>
      <c r="AI887" s="1">
        <f t="shared" si="315"/>
        <v>183</v>
      </c>
      <c r="AJ887" s="3">
        <f t="shared" si="316"/>
        <v>0.5</v>
      </c>
      <c r="AK887" s="3">
        <f t="shared" si="317"/>
        <v>0.49445972320794884</v>
      </c>
      <c r="AL887" s="3">
        <f t="shared" si="318"/>
        <v>0.24722986160397442</v>
      </c>
      <c r="AM887" s="3">
        <f t="shared" si="319"/>
        <v>0.618074654009936</v>
      </c>
      <c r="AN887" s="3">
        <f t="shared" si="320"/>
        <v>0</v>
      </c>
      <c r="AO887" s="3">
        <f t="shared" si="321"/>
        <v>0.618074654009936</v>
      </c>
      <c r="AP887" s="1" t="str">
        <f>INDEX({"EAD";"EAD";"EAD";"EAD MOOC";"EAD";"EAD";"EAD FP";"EAD";"PRESENCIAL";"PRESENCIAL";"PRESENCIAL";"PRESENCIAL"}, MATCH(CONCATENATE(E887, ".", F887),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88" spans="1:42" x14ac:dyDescent="0.25">
      <c r="A888" s="1" t="s">
        <v>27</v>
      </c>
      <c r="B888" s="1" t="s">
        <v>50</v>
      </c>
      <c r="C888" s="1" t="s">
        <v>29</v>
      </c>
      <c r="D888" s="1" t="s">
        <v>51</v>
      </c>
      <c r="E888" s="1" t="s">
        <v>120</v>
      </c>
      <c r="F888" s="1" t="s">
        <v>21</v>
      </c>
      <c r="G888" s="1" t="s">
        <v>128</v>
      </c>
      <c r="H888" s="1" t="s">
        <v>132</v>
      </c>
      <c r="I888" s="1" t="s">
        <v>107</v>
      </c>
      <c r="J888" s="1" t="s">
        <v>108</v>
      </c>
      <c r="K888" s="1" t="s">
        <v>130</v>
      </c>
      <c r="L888" s="1">
        <v>2750069</v>
      </c>
      <c r="M888" s="1" t="s">
        <v>1060</v>
      </c>
      <c r="N888" s="5">
        <f t="shared" ref="N888:N893" si="322">DATE(2021,3,15)</f>
        <v>44270</v>
      </c>
      <c r="O888" s="5">
        <f>DATE(2023,12,22)</f>
        <v>45282</v>
      </c>
      <c r="P888" s="5">
        <f t="shared" si="302"/>
        <v>46377</v>
      </c>
      <c r="Q888" s="1">
        <v>4048</v>
      </c>
      <c r="R888" s="1">
        <v>1200</v>
      </c>
      <c r="S888" s="1">
        <f t="shared" si="303"/>
        <v>3200</v>
      </c>
      <c r="T888" s="1">
        <v>2.5</v>
      </c>
      <c r="U888" s="1" t="str">
        <f t="shared" si="304"/>
        <v>SIM</v>
      </c>
      <c r="V888" s="1">
        <f t="shared" si="305"/>
        <v>1013</v>
      </c>
      <c r="W888" s="4">
        <f t="shared" si="306"/>
        <v>3.15893385982231</v>
      </c>
      <c r="X888" s="4">
        <f t="shared" si="307"/>
        <v>1153.0108588351432</v>
      </c>
      <c r="Y888" s="4">
        <f t="shared" si="308"/>
        <v>1.441263573543929</v>
      </c>
      <c r="AB888" s="5">
        <f t="shared" si="309"/>
        <v>45292</v>
      </c>
      <c r="AC888" s="5">
        <f t="shared" si="310"/>
        <v>45657</v>
      </c>
      <c r="AD888" s="1">
        <v>9</v>
      </c>
      <c r="AE888" s="1">
        <f t="shared" si="311"/>
        <v>0</v>
      </c>
      <c r="AF888" s="1">
        <f t="shared" si="312"/>
        <v>0</v>
      </c>
      <c r="AG888" s="1">
        <f t="shared" si="313"/>
        <v>0</v>
      </c>
      <c r="AH888" s="1">
        <f t="shared" si="314"/>
        <v>0</v>
      </c>
      <c r="AI888" s="1">
        <f t="shared" si="315"/>
        <v>183</v>
      </c>
      <c r="AJ888" s="3">
        <f t="shared" si="316"/>
        <v>0.5</v>
      </c>
      <c r="AK888" s="3">
        <f t="shared" si="317"/>
        <v>0.72063178677196449</v>
      </c>
      <c r="AL888" s="3">
        <f t="shared" si="318"/>
        <v>3.24284304047384</v>
      </c>
      <c r="AM888" s="3">
        <f t="shared" si="319"/>
        <v>8.1071076011845999</v>
      </c>
      <c r="AN888" s="3">
        <f t="shared" si="320"/>
        <v>4.0535538005923</v>
      </c>
      <c r="AO888" s="3">
        <f t="shared" si="321"/>
        <v>12.160661401776899</v>
      </c>
      <c r="AP888" s="1" t="str">
        <f>INDEX({"EAD";"EAD";"EAD";"EAD MOOC";"EAD";"EAD";"EAD FP";"EAD";"PRESENCIAL";"PRESENCIAL";"PRESENCIAL";"PRESENCIAL"}, MATCH(CONCATENATE(E888, ".", F888),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89" spans="1:42" x14ac:dyDescent="0.25">
      <c r="A889" s="1" t="s">
        <v>27</v>
      </c>
      <c r="B889" s="1" t="s">
        <v>50</v>
      </c>
      <c r="C889" s="1" t="s">
        <v>29</v>
      </c>
      <c r="D889" s="1" t="s">
        <v>51</v>
      </c>
      <c r="E889" s="1" t="s">
        <v>120</v>
      </c>
      <c r="F889" s="1" t="s">
        <v>21</v>
      </c>
      <c r="G889" s="1" t="s">
        <v>128</v>
      </c>
      <c r="H889" s="1" t="s">
        <v>206</v>
      </c>
      <c r="I889" s="1" t="s">
        <v>124</v>
      </c>
      <c r="J889" s="1" t="s">
        <v>125</v>
      </c>
      <c r="K889" s="1" t="s">
        <v>130</v>
      </c>
      <c r="L889" s="1">
        <v>2750079</v>
      </c>
      <c r="M889" s="1" t="s">
        <v>1061</v>
      </c>
      <c r="N889" s="5">
        <f t="shared" si="322"/>
        <v>44270</v>
      </c>
      <c r="O889" s="5">
        <f>DATE(2023,12,22)</f>
        <v>45282</v>
      </c>
      <c r="P889" s="5">
        <f t="shared" si="302"/>
        <v>46377</v>
      </c>
      <c r="Q889" s="1">
        <v>3560</v>
      </c>
      <c r="R889" s="1">
        <v>800</v>
      </c>
      <c r="S889" s="1">
        <f t="shared" si="303"/>
        <v>3000</v>
      </c>
      <c r="T889" s="1">
        <v>1.5</v>
      </c>
      <c r="U889" s="1" t="str">
        <f t="shared" si="304"/>
        <v>SIM</v>
      </c>
      <c r="V889" s="1">
        <f t="shared" si="305"/>
        <v>1013</v>
      </c>
      <c r="W889" s="4">
        <f t="shared" si="306"/>
        <v>2.9615004935834155</v>
      </c>
      <c r="X889" s="4">
        <f t="shared" si="307"/>
        <v>1080.9476801579467</v>
      </c>
      <c r="Y889" s="4">
        <f t="shared" si="308"/>
        <v>1.3511846001974335</v>
      </c>
      <c r="AB889" s="5">
        <f t="shared" si="309"/>
        <v>45292</v>
      </c>
      <c r="AC889" s="5">
        <f t="shared" si="310"/>
        <v>45657</v>
      </c>
      <c r="AD889" s="1">
        <v>2</v>
      </c>
      <c r="AE889" s="1">
        <f t="shared" si="311"/>
        <v>0</v>
      </c>
      <c r="AF889" s="1">
        <f t="shared" si="312"/>
        <v>0</v>
      </c>
      <c r="AG889" s="1">
        <f t="shared" si="313"/>
        <v>0</v>
      </c>
      <c r="AH889" s="1">
        <f t="shared" si="314"/>
        <v>0</v>
      </c>
      <c r="AI889" s="1">
        <f t="shared" si="315"/>
        <v>183</v>
      </c>
      <c r="AJ889" s="3">
        <f t="shared" si="316"/>
        <v>0.5</v>
      </c>
      <c r="AK889" s="3">
        <f t="shared" si="317"/>
        <v>0.67559230009871674</v>
      </c>
      <c r="AL889" s="3">
        <f t="shared" si="318"/>
        <v>0.67559230009871674</v>
      </c>
      <c r="AM889" s="3">
        <f t="shared" si="319"/>
        <v>1.0133884501480752</v>
      </c>
      <c r="AN889" s="3">
        <f t="shared" si="320"/>
        <v>0</v>
      </c>
      <c r="AO889" s="3">
        <f t="shared" si="321"/>
        <v>1.0133884501480752</v>
      </c>
      <c r="AP889" s="1" t="str">
        <f>INDEX({"EAD";"EAD";"EAD";"EAD MOOC";"EAD";"EAD";"EAD FP";"EAD";"PRESENCIAL";"PRESENCIAL";"PRESENCIAL";"PRESENCIAL"}, MATCH(CONCATENATE(E889, ".", F889),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90" spans="1:42" x14ac:dyDescent="0.25">
      <c r="A890" s="1" t="s">
        <v>27</v>
      </c>
      <c r="B890" s="1" t="s">
        <v>50</v>
      </c>
      <c r="C890" s="1" t="s">
        <v>29</v>
      </c>
      <c r="D890" s="1" t="s">
        <v>51</v>
      </c>
      <c r="E890" s="1" t="s">
        <v>120</v>
      </c>
      <c r="F890" s="1" t="s">
        <v>21</v>
      </c>
      <c r="G890" s="1" t="s">
        <v>128</v>
      </c>
      <c r="H890" s="1" t="s">
        <v>907</v>
      </c>
      <c r="I890" s="1" t="s">
        <v>224</v>
      </c>
      <c r="J890" s="1" t="s">
        <v>125</v>
      </c>
      <c r="K890" s="1" t="s">
        <v>130</v>
      </c>
      <c r="L890" s="1">
        <v>2750083</v>
      </c>
      <c r="M890" s="1" t="s">
        <v>1062</v>
      </c>
      <c r="N890" s="5">
        <f t="shared" si="322"/>
        <v>44270</v>
      </c>
      <c r="O890" s="5">
        <f>DATE(2023,12,22)</f>
        <v>45282</v>
      </c>
      <c r="P890" s="5">
        <f t="shared" si="302"/>
        <v>46377</v>
      </c>
      <c r="Q890" s="1">
        <v>3980</v>
      </c>
      <c r="R890" s="1">
        <v>1200</v>
      </c>
      <c r="S890" s="1">
        <f t="shared" si="303"/>
        <v>3200</v>
      </c>
      <c r="T890" s="1">
        <v>1.5</v>
      </c>
      <c r="U890" s="1" t="str">
        <f t="shared" si="304"/>
        <v>SIM</v>
      </c>
      <c r="V890" s="1">
        <f t="shared" si="305"/>
        <v>1013</v>
      </c>
      <c r="W890" s="4">
        <f t="shared" si="306"/>
        <v>3.15893385982231</v>
      </c>
      <c r="X890" s="4">
        <f t="shared" si="307"/>
        <v>1153.0108588351432</v>
      </c>
      <c r="Y890" s="4">
        <f t="shared" si="308"/>
        <v>1.441263573543929</v>
      </c>
      <c r="AB890" s="5">
        <f t="shared" si="309"/>
        <v>45292</v>
      </c>
      <c r="AC890" s="5">
        <f t="shared" si="310"/>
        <v>45657</v>
      </c>
      <c r="AD890" s="1">
        <v>4</v>
      </c>
      <c r="AE890" s="1">
        <f t="shared" si="311"/>
        <v>0</v>
      </c>
      <c r="AF890" s="1">
        <f t="shared" si="312"/>
        <v>0</v>
      </c>
      <c r="AG890" s="1">
        <f t="shared" si="313"/>
        <v>0</v>
      </c>
      <c r="AH890" s="1">
        <f t="shared" si="314"/>
        <v>0</v>
      </c>
      <c r="AI890" s="1">
        <f t="shared" si="315"/>
        <v>183</v>
      </c>
      <c r="AJ890" s="3">
        <f t="shared" si="316"/>
        <v>0.5</v>
      </c>
      <c r="AK890" s="3">
        <f t="shared" si="317"/>
        <v>0.72063178677196449</v>
      </c>
      <c r="AL890" s="3">
        <f t="shared" si="318"/>
        <v>1.441263573543929</v>
      </c>
      <c r="AM890" s="3">
        <f t="shared" si="319"/>
        <v>2.1618953603158935</v>
      </c>
      <c r="AN890" s="3">
        <f t="shared" si="320"/>
        <v>0</v>
      </c>
      <c r="AO890" s="3">
        <f t="shared" si="321"/>
        <v>2.1618953603158935</v>
      </c>
      <c r="AP890" s="1" t="str">
        <f>INDEX({"EAD";"EAD";"EAD";"EAD MOOC";"EAD";"EAD";"EAD FP";"EAD";"PRESENCIAL";"PRESENCIAL";"PRESENCIAL";"PRESENCIAL"}, MATCH(CONCATENATE(E890, ".", F890),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91" spans="1:42" x14ac:dyDescent="0.25">
      <c r="A891" s="1" t="s">
        <v>27</v>
      </c>
      <c r="B891" s="1" t="s">
        <v>50</v>
      </c>
      <c r="C891" s="1" t="s">
        <v>29</v>
      </c>
      <c r="D891" s="1" t="s">
        <v>51</v>
      </c>
      <c r="E891" s="1" t="s">
        <v>120</v>
      </c>
      <c r="F891" s="1" t="s">
        <v>21</v>
      </c>
      <c r="G891" s="1" t="s">
        <v>278</v>
      </c>
      <c r="H891" s="1" t="s">
        <v>405</v>
      </c>
      <c r="I891" s="1" t="s">
        <v>172</v>
      </c>
      <c r="J891" s="1" t="s">
        <v>125</v>
      </c>
      <c r="K891" s="1" t="s">
        <v>109</v>
      </c>
      <c r="L891" s="1">
        <v>2752793</v>
      </c>
      <c r="M891" s="1" t="s">
        <v>1063</v>
      </c>
      <c r="N891" s="5">
        <f t="shared" si="322"/>
        <v>44270</v>
      </c>
      <c r="O891" s="5">
        <f>DATE(2024,12,23)</f>
        <v>45649</v>
      </c>
      <c r="P891" s="5">
        <f t="shared" si="302"/>
        <v>46744</v>
      </c>
      <c r="Q891" s="1">
        <v>2997</v>
      </c>
      <c r="R891" s="1">
        <v>3200</v>
      </c>
      <c r="S891" s="1">
        <f t="shared" si="303"/>
        <v>3200</v>
      </c>
      <c r="T891" s="1">
        <v>2.5</v>
      </c>
      <c r="U891" s="1" t="str">
        <f t="shared" si="304"/>
        <v>SIM</v>
      </c>
      <c r="V891" s="1">
        <f t="shared" si="305"/>
        <v>1380</v>
      </c>
      <c r="W891" s="4">
        <f t="shared" si="306"/>
        <v>2.1717391304347826</v>
      </c>
      <c r="X891" s="4">
        <f t="shared" si="307"/>
        <v>792.68478260869563</v>
      </c>
      <c r="Y891" s="4">
        <f t="shared" si="308"/>
        <v>0.99085597826086957</v>
      </c>
      <c r="AB891" s="5">
        <f t="shared" si="309"/>
        <v>45292</v>
      </c>
      <c r="AC891" s="5">
        <f t="shared" si="310"/>
        <v>45657</v>
      </c>
      <c r="AD891" s="1">
        <v>15</v>
      </c>
      <c r="AE891" s="1">
        <f t="shared" si="311"/>
        <v>0</v>
      </c>
      <c r="AF891" s="1">
        <f t="shared" si="312"/>
        <v>0</v>
      </c>
      <c r="AG891" s="1">
        <f t="shared" si="313"/>
        <v>358</v>
      </c>
      <c r="AH891" s="1">
        <f t="shared" si="314"/>
        <v>0</v>
      </c>
      <c r="AI891" s="1">
        <f t="shared" si="315"/>
        <v>0</v>
      </c>
      <c r="AJ891" s="3">
        <f t="shared" si="316"/>
        <v>0.97814207650273222</v>
      </c>
      <c r="AK891" s="3">
        <f t="shared" si="317"/>
        <v>0.96919792409123307</v>
      </c>
      <c r="AL891" s="3">
        <f t="shared" si="318"/>
        <v>14.537968861368496</v>
      </c>
      <c r="AM891" s="3">
        <f t="shared" si="319"/>
        <v>36.344922153421237</v>
      </c>
      <c r="AN891" s="3">
        <f t="shared" si="320"/>
        <v>0</v>
      </c>
      <c r="AO891" s="3">
        <f t="shared" si="321"/>
        <v>36.344922153421237</v>
      </c>
      <c r="AP891" s="1" t="str">
        <f>INDEX({"EAD";"EAD";"EAD";"EAD MOOC";"EAD";"EAD";"EAD FP";"EAD";"PRESENCIAL";"PRESENCIAL";"PRESENCIAL";"PRESENCIAL"}, MATCH(CONCATENATE(E891, ".", F891),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92" spans="1:42" x14ac:dyDescent="0.25">
      <c r="A892" s="1" t="s">
        <v>27</v>
      </c>
      <c r="B892" s="1" t="s">
        <v>50</v>
      </c>
      <c r="C892" s="1" t="s">
        <v>29</v>
      </c>
      <c r="D892" s="1" t="s">
        <v>51</v>
      </c>
      <c r="E892" s="1" t="s">
        <v>120</v>
      </c>
      <c r="F892" s="1" t="s">
        <v>21</v>
      </c>
      <c r="G892" s="1" t="s">
        <v>278</v>
      </c>
      <c r="H892" s="1" t="s">
        <v>320</v>
      </c>
      <c r="I892" s="1" t="s">
        <v>172</v>
      </c>
      <c r="J892" s="1" t="s">
        <v>125</v>
      </c>
      <c r="K892" s="1" t="s">
        <v>109</v>
      </c>
      <c r="L892" s="1">
        <v>2752796</v>
      </c>
      <c r="M892" s="1" t="s">
        <v>1064</v>
      </c>
      <c r="N892" s="5">
        <f t="shared" si="322"/>
        <v>44270</v>
      </c>
      <c r="O892" s="5">
        <f>DATE(2024,12,23)</f>
        <v>45649</v>
      </c>
      <c r="P892" s="5">
        <f t="shared" si="302"/>
        <v>46744</v>
      </c>
      <c r="Q892" s="1">
        <v>3054</v>
      </c>
      <c r="R892" s="1">
        <v>3200</v>
      </c>
      <c r="S892" s="1">
        <f t="shared" si="303"/>
        <v>3200</v>
      </c>
      <c r="T892" s="1">
        <v>2.5</v>
      </c>
      <c r="U892" s="1" t="str">
        <f t="shared" si="304"/>
        <v>SIM</v>
      </c>
      <c r="V892" s="1">
        <f t="shared" si="305"/>
        <v>1380</v>
      </c>
      <c r="W892" s="4">
        <f t="shared" si="306"/>
        <v>2.2130434782608694</v>
      </c>
      <c r="X892" s="4">
        <f t="shared" si="307"/>
        <v>807.76086956521738</v>
      </c>
      <c r="Y892" s="4">
        <f t="shared" si="308"/>
        <v>1.0097010869565217</v>
      </c>
      <c r="AB892" s="5">
        <f t="shared" si="309"/>
        <v>45292</v>
      </c>
      <c r="AC892" s="5">
        <f t="shared" si="310"/>
        <v>45657</v>
      </c>
      <c r="AD892" s="1">
        <v>4</v>
      </c>
      <c r="AE892" s="1">
        <f t="shared" si="311"/>
        <v>0</v>
      </c>
      <c r="AF892" s="1">
        <f t="shared" si="312"/>
        <v>0</v>
      </c>
      <c r="AG892" s="1">
        <f t="shared" si="313"/>
        <v>358</v>
      </c>
      <c r="AH892" s="1">
        <f t="shared" si="314"/>
        <v>0</v>
      </c>
      <c r="AI892" s="1">
        <f t="shared" si="315"/>
        <v>0</v>
      </c>
      <c r="AJ892" s="3">
        <f t="shared" si="316"/>
        <v>0.97814207650273222</v>
      </c>
      <c r="AK892" s="3">
        <f t="shared" si="317"/>
        <v>0.98763111784271795</v>
      </c>
      <c r="AL892" s="3">
        <f t="shared" si="318"/>
        <v>3.9505244713708718</v>
      </c>
      <c r="AM892" s="3">
        <f t="shared" si="319"/>
        <v>9.87631117842718</v>
      </c>
      <c r="AN892" s="3">
        <f t="shared" si="320"/>
        <v>0</v>
      </c>
      <c r="AO892" s="3">
        <f t="shared" si="321"/>
        <v>9.87631117842718</v>
      </c>
      <c r="AP892" s="1" t="str">
        <f>INDEX({"EAD";"EAD";"EAD";"EAD MOOC";"EAD";"EAD";"EAD FP";"EAD";"PRESENCIAL";"PRESENCIAL";"PRESENCIAL";"PRESENCIAL"}, MATCH(CONCATENATE(E892, ".", F892),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93" spans="1:42" x14ac:dyDescent="0.25">
      <c r="A893" s="1" t="s">
        <v>27</v>
      </c>
      <c r="B893" s="1" t="s">
        <v>50</v>
      </c>
      <c r="C893" s="1" t="s">
        <v>29</v>
      </c>
      <c r="D893" s="1" t="s">
        <v>51</v>
      </c>
      <c r="E893" s="1" t="s">
        <v>120</v>
      </c>
      <c r="F893" s="1" t="s">
        <v>21</v>
      </c>
      <c r="G893" s="1" t="s">
        <v>121</v>
      </c>
      <c r="H893" s="1" t="s">
        <v>123</v>
      </c>
      <c r="I893" s="1" t="s">
        <v>124</v>
      </c>
      <c r="J893" s="1" t="s">
        <v>125</v>
      </c>
      <c r="K893" s="1" t="s">
        <v>109</v>
      </c>
      <c r="L893" s="1">
        <v>2752803</v>
      </c>
      <c r="M893" s="1" t="s">
        <v>1065</v>
      </c>
      <c r="N893" s="5">
        <f t="shared" si="322"/>
        <v>44270</v>
      </c>
      <c r="O893" s="5">
        <f>DATE(2024,12,23)</f>
        <v>45649</v>
      </c>
      <c r="P893" s="5">
        <f t="shared" si="302"/>
        <v>46744</v>
      </c>
      <c r="Q893" s="1">
        <v>3208</v>
      </c>
      <c r="R893" s="1">
        <v>3000</v>
      </c>
      <c r="S893" s="1">
        <f t="shared" si="303"/>
        <v>3000</v>
      </c>
      <c r="T893" s="1">
        <v>1</v>
      </c>
      <c r="U893" s="1" t="str">
        <f t="shared" si="304"/>
        <v>SIM</v>
      </c>
      <c r="V893" s="1">
        <f t="shared" si="305"/>
        <v>1380</v>
      </c>
      <c r="W893" s="4">
        <f t="shared" si="306"/>
        <v>2.1739130434782608</v>
      </c>
      <c r="X893" s="4">
        <f t="shared" si="307"/>
        <v>793.47826086956513</v>
      </c>
      <c r="Y893" s="4">
        <f t="shared" si="308"/>
        <v>0.99184782608695643</v>
      </c>
      <c r="AB893" s="5">
        <f t="shared" si="309"/>
        <v>45292</v>
      </c>
      <c r="AC893" s="5">
        <f t="shared" si="310"/>
        <v>45657</v>
      </c>
      <c r="AD893" s="1">
        <v>21</v>
      </c>
      <c r="AE893" s="1">
        <f t="shared" si="311"/>
        <v>0</v>
      </c>
      <c r="AF893" s="1">
        <f t="shared" si="312"/>
        <v>0</v>
      </c>
      <c r="AG893" s="1">
        <f t="shared" si="313"/>
        <v>358</v>
      </c>
      <c r="AH893" s="1">
        <f t="shared" si="314"/>
        <v>0</v>
      </c>
      <c r="AI893" s="1">
        <f t="shared" si="315"/>
        <v>0</v>
      </c>
      <c r="AJ893" s="3">
        <f t="shared" si="316"/>
        <v>0.97814207650273222</v>
      </c>
      <c r="AK893" s="3">
        <f t="shared" si="317"/>
        <v>0.97016809218341638</v>
      </c>
      <c r="AL893" s="3">
        <f t="shared" si="318"/>
        <v>20.373529935851742</v>
      </c>
      <c r="AM893" s="3">
        <f t="shared" si="319"/>
        <v>20.373529935851742</v>
      </c>
      <c r="AN893" s="3">
        <f t="shared" si="320"/>
        <v>0</v>
      </c>
      <c r="AO893" s="3">
        <f t="shared" si="321"/>
        <v>20.373529935851742</v>
      </c>
      <c r="AP893" s="1" t="str">
        <f>INDEX({"EAD";"EAD";"EAD";"EAD MOOC";"EAD";"EAD";"EAD FP";"EAD";"PRESENCIAL";"PRESENCIAL";"PRESENCIAL";"PRESENCIAL"}, MATCH(CONCATENATE(E893, ".", F893),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94" spans="1:42" x14ac:dyDescent="0.25">
      <c r="A894" s="1" t="s">
        <v>27</v>
      </c>
      <c r="B894" s="1" t="s">
        <v>50</v>
      </c>
      <c r="C894" s="1" t="s">
        <v>29</v>
      </c>
      <c r="D894" s="1" t="s">
        <v>51</v>
      </c>
      <c r="E894" s="1" t="s">
        <v>120</v>
      </c>
      <c r="F894" s="1" t="s">
        <v>21</v>
      </c>
      <c r="G894" s="1" t="s">
        <v>128</v>
      </c>
      <c r="H894" s="1" t="s">
        <v>132</v>
      </c>
      <c r="I894" s="1" t="s">
        <v>107</v>
      </c>
      <c r="J894" s="1" t="s">
        <v>108</v>
      </c>
      <c r="K894" s="1" t="s">
        <v>130</v>
      </c>
      <c r="L894" s="1">
        <v>2834102</v>
      </c>
      <c r="M894" s="1" t="s">
        <v>1030</v>
      </c>
      <c r="N894" s="5">
        <f t="shared" ref="N894:N899" si="323">DATE(2022,2,7)</f>
        <v>44599</v>
      </c>
      <c r="O894" s="5">
        <f>DATE(2024,12,31)</f>
        <v>45657</v>
      </c>
      <c r="P894" s="5">
        <f t="shared" si="302"/>
        <v>46752</v>
      </c>
      <c r="Q894" s="1">
        <v>4048</v>
      </c>
      <c r="R894" s="1">
        <v>1200</v>
      </c>
      <c r="S894" s="1">
        <f t="shared" si="303"/>
        <v>3200</v>
      </c>
      <c r="T894" s="1">
        <v>2.5</v>
      </c>
      <c r="U894" s="1" t="str">
        <f t="shared" si="304"/>
        <v>SIM</v>
      </c>
      <c r="V894" s="1">
        <f t="shared" si="305"/>
        <v>1059</v>
      </c>
      <c r="W894" s="4">
        <f t="shared" si="306"/>
        <v>3.0217186024551466</v>
      </c>
      <c r="X894" s="4">
        <f t="shared" si="307"/>
        <v>1102.9272898961285</v>
      </c>
      <c r="Y894" s="4">
        <f t="shared" si="308"/>
        <v>1.3786591123701606</v>
      </c>
      <c r="AB894" s="5">
        <f t="shared" si="309"/>
        <v>45292</v>
      </c>
      <c r="AC894" s="5">
        <f t="shared" si="310"/>
        <v>45657</v>
      </c>
      <c r="AD894" s="1">
        <v>64</v>
      </c>
      <c r="AE894" s="1">
        <f t="shared" si="311"/>
        <v>0</v>
      </c>
      <c r="AF894" s="1">
        <f t="shared" si="312"/>
        <v>0</v>
      </c>
      <c r="AG894" s="1">
        <f t="shared" si="313"/>
        <v>366</v>
      </c>
      <c r="AH894" s="1">
        <f t="shared" si="314"/>
        <v>0</v>
      </c>
      <c r="AI894" s="1">
        <f t="shared" si="315"/>
        <v>0</v>
      </c>
      <c r="AJ894" s="3">
        <f t="shared" si="316"/>
        <v>1</v>
      </c>
      <c r="AK894" s="3">
        <f t="shared" si="317"/>
        <v>1.3786591123701606</v>
      </c>
      <c r="AL894" s="3">
        <f t="shared" si="318"/>
        <v>88.234183191690278</v>
      </c>
      <c r="AM894" s="3">
        <f t="shared" si="319"/>
        <v>220.58545797922568</v>
      </c>
      <c r="AN894" s="3">
        <f t="shared" si="320"/>
        <v>110.29272898961284</v>
      </c>
      <c r="AO894" s="3">
        <f t="shared" si="321"/>
        <v>330.87818696883852</v>
      </c>
      <c r="AP894" s="1" t="str">
        <f>INDEX({"EAD";"EAD";"EAD";"EAD MOOC";"EAD";"EAD";"EAD FP";"EAD";"PRESENCIAL";"PRESENCIAL";"PRESENCIAL";"PRESENCIAL"}, MATCH(CONCATENATE(E894, ".", F894),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95" spans="1:42" x14ac:dyDescent="0.25">
      <c r="A895" s="1" t="s">
        <v>27</v>
      </c>
      <c r="B895" s="1" t="s">
        <v>50</v>
      </c>
      <c r="C895" s="1" t="s">
        <v>29</v>
      </c>
      <c r="D895" s="1" t="s">
        <v>51</v>
      </c>
      <c r="E895" s="1" t="s">
        <v>120</v>
      </c>
      <c r="F895" s="1" t="s">
        <v>21</v>
      </c>
      <c r="G895" s="1" t="s">
        <v>128</v>
      </c>
      <c r="H895" s="1" t="s">
        <v>206</v>
      </c>
      <c r="I895" s="1" t="s">
        <v>124</v>
      </c>
      <c r="J895" s="1" t="s">
        <v>125</v>
      </c>
      <c r="K895" s="1" t="s">
        <v>130</v>
      </c>
      <c r="L895" s="1">
        <v>2834106</v>
      </c>
      <c r="M895" s="1" t="s">
        <v>1066</v>
      </c>
      <c r="N895" s="5">
        <f t="shared" si="323"/>
        <v>44599</v>
      </c>
      <c r="O895" s="5">
        <f>DATE(2024,12,31)</f>
        <v>45657</v>
      </c>
      <c r="P895" s="5">
        <f t="shared" si="302"/>
        <v>46752</v>
      </c>
      <c r="Q895" s="1">
        <v>3560</v>
      </c>
      <c r="R895" s="1">
        <v>800</v>
      </c>
      <c r="S895" s="1">
        <f t="shared" si="303"/>
        <v>3000</v>
      </c>
      <c r="T895" s="1">
        <v>1.5</v>
      </c>
      <c r="U895" s="1" t="str">
        <f t="shared" si="304"/>
        <v>SIM</v>
      </c>
      <c r="V895" s="1">
        <f t="shared" si="305"/>
        <v>1059</v>
      </c>
      <c r="W895" s="4">
        <f t="shared" si="306"/>
        <v>2.8328611898016995</v>
      </c>
      <c r="X895" s="4">
        <f t="shared" si="307"/>
        <v>1033.9943342776203</v>
      </c>
      <c r="Y895" s="4">
        <f t="shared" si="308"/>
        <v>1.2924929178470252</v>
      </c>
      <c r="AB895" s="5">
        <f t="shared" si="309"/>
        <v>45292</v>
      </c>
      <c r="AC895" s="5">
        <f t="shared" si="310"/>
        <v>45657</v>
      </c>
      <c r="AD895" s="1">
        <v>12</v>
      </c>
      <c r="AE895" s="1">
        <f t="shared" si="311"/>
        <v>0</v>
      </c>
      <c r="AF895" s="1">
        <f t="shared" si="312"/>
        <v>0</v>
      </c>
      <c r="AG895" s="1">
        <f t="shared" si="313"/>
        <v>366</v>
      </c>
      <c r="AH895" s="1">
        <f t="shared" si="314"/>
        <v>0</v>
      </c>
      <c r="AI895" s="1">
        <f t="shared" si="315"/>
        <v>0</v>
      </c>
      <c r="AJ895" s="3">
        <f t="shared" si="316"/>
        <v>1</v>
      </c>
      <c r="AK895" s="3">
        <f t="shared" si="317"/>
        <v>1.2924929178470252</v>
      </c>
      <c r="AL895" s="3">
        <f t="shared" si="318"/>
        <v>15.509915014164303</v>
      </c>
      <c r="AM895" s="3">
        <f t="shared" si="319"/>
        <v>23.264872521246453</v>
      </c>
      <c r="AN895" s="3">
        <f t="shared" si="320"/>
        <v>0</v>
      </c>
      <c r="AO895" s="3">
        <f t="shared" si="321"/>
        <v>23.264872521246453</v>
      </c>
      <c r="AP895" s="1" t="str">
        <f>INDEX({"EAD";"EAD";"EAD";"EAD MOOC";"EAD";"EAD";"EAD FP";"EAD";"PRESENCIAL";"PRESENCIAL";"PRESENCIAL";"PRESENCIAL"}, MATCH(CONCATENATE(E895, ".", F895),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96" spans="1:42" x14ac:dyDescent="0.25">
      <c r="A896" s="1" t="s">
        <v>27</v>
      </c>
      <c r="B896" s="1" t="s">
        <v>50</v>
      </c>
      <c r="C896" s="1" t="s">
        <v>29</v>
      </c>
      <c r="D896" s="1" t="s">
        <v>51</v>
      </c>
      <c r="E896" s="1" t="s">
        <v>120</v>
      </c>
      <c r="F896" s="1" t="s">
        <v>21</v>
      </c>
      <c r="G896" s="1" t="s">
        <v>128</v>
      </c>
      <c r="H896" s="1" t="s">
        <v>907</v>
      </c>
      <c r="I896" s="1" t="s">
        <v>224</v>
      </c>
      <c r="J896" s="1" t="s">
        <v>125</v>
      </c>
      <c r="K896" s="1" t="s">
        <v>130</v>
      </c>
      <c r="L896" s="1">
        <v>2834107</v>
      </c>
      <c r="M896" s="1" t="s">
        <v>1067</v>
      </c>
      <c r="N896" s="5">
        <f t="shared" si="323"/>
        <v>44599</v>
      </c>
      <c r="O896" s="5">
        <f>DATE(2024,12,31)</f>
        <v>45657</v>
      </c>
      <c r="P896" s="5">
        <f t="shared" si="302"/>
        <v>46752</v>
      </c>
      <c r="Q896" s="1">
        <v>3980</v>
      </c>
      <c r="R896" s="1">
        <v>1200</v>
      </c>
      <c r="S896" s="1">
        <f t="shared" si="303"/>
        <v>3200</v>
      </c>
      <c r="T896" s="1">
        <v>1.5</v>
      </c>
      <c r="U896" s="1" t="str">
        <f t="shared" si="304"/>
        <v>SIM</v>
      </c>
      <c r="V896" s="1">
        <f t="shared" si="305"/>
        <v>1059</v>
      </c>
      <c r="W896" s="4">
        <f t="shared" si="306"/>
        <v>3.0217186024551466</v>
      </c>
      <c r="X896" s="4">
        <f t="shared" si="307"/>
        <v>1102.9272898961285</v>
      </c>
      <c r="Y896" s="4">
        <f t="shared" si="308"/>
        <v>1.3786591123701606</v>
      </c>
      <c r="AB896" s="5">
        <f t="shared" si="309"/>
        <v>45292</v>
      </c>
      <c r="AC896" s="5">
        <f t="shared" si="310"/>
        <v>45657</v>
      </c>
      <c r="AD896" s="1">
        <v>22</v>
      </c>
      <c r="AE896" s="1">
        <f t="shared" si="311"/>
        <v>0</v>
      </c>
      <c r="AF896" s="1">
        <f t="shared" si="312"/>
        <v>0</v>
      </c>
      <c r="AG896" s="1">
        <f t="shared" si="313"/>
        <v>366</v>
      </c>
      <c r="AH896" s="1">
        <f t="shared" si="314"/>
        <v>0</v>
      </c>
      <c r="AI896" s="1">
        <f t="shared" si="315"/>
        <v>0</v>
      </c>
      <c r="AJ896" s="3">
        <f t="shared" si="316"/>
        <v>1</v>
      </c>
      <c r="AK896" s="3">
        <f t="shared" si="317"/>
        <v>1.3786591123701606</v>
      </c>
      <c r="AL896" s="3">
        <f t="shared" si="318"/>
        <v>30.330500472143534</v>
      </c>
      <c r="AM896" s="3">
        <f t="shared" si="319"/>
        <v>45.495750708215297</v>
      </c>
      <c r="AN896" s="3">
        <f t="shared" si="320"/>
        <v>0</v>
      </c>
      <c r="AO896" s="3">
        <f t="shared" si="321"/>
        <v>45.495750708215297</v>
      </c>
      <c r="AP896" s="1" t="str">
        <f>INDEX({"EAD";"EAD";"EAD";"EAD MOOC";"EAD";"EAD";"EAD FP";"EAD";"PRESENCIAL";"PRESENCIAL";"PRESENCIAL";"PRESENCIAL"}, MATCH(CONCATENATE(E896, ".", F896),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97" spans="1:42" x14ac:dyDescent="0.25">
      <c r="A897" s="1" t="s">
        <v>27</v>
      </c>
      <c r="B897" s="1" t="s">
        <v>50</v>
      </c>
      <c r="C897" s="1" t="s">
        <v>29</v>
      </c>
      <c r="D897" s="1" t="s">
        <v>51</v>
      </c>
      <c r="E897" s="1" t="s">
        <v>120</v>
      </c>
      <c r="F897" s="1" t="s">
        <v>21</v>
      </c>
      <c r="G897" s="1" t="s">
        <v>121</v>
      </c>
      <c r="H897" s="1" t="s">
        <v>123</v>
      </c>
      <c r="I897" s="1" t="s">
        <v>124</v>
      </c>
      <c r="J897" s="1" t="s">
        <v>125</v>
      </c>
      <c r="K897" s="1" t="s">
        <v>109</v>
      </c>
      <c r="L897" s="1">
        <v>2837899</v>
      </c>
      <c r="M897" s="1" t="s">
        <v>1068</v>
      </c>
      <c r="N897" s="5">
        <f t="shared" si="323"/>
        <v>44599</v>
      </c>
      <c r="O897" s="5">
        <f>DATE(2025,12,31)</f>
        <v>46022</v>
      </c>
      <c r="P897" s="5">
        <f t="shared" si="302"/>
        <v>47117</v>
      </c>
      <c r="Q897" s="1">
        <v>3208</v>
      </c>
      <c r="R897" s="1">
        <v>3000</v>
      </c>
      <c r="S897" s="1">
        <f t="shared" si="303"/>
        <v>3000</v>
      </c>
      <c r="T897" s="1">
        <v>1</v>
      </c>
      <c r="U897" s="1" t="str">
        <f t="shared" si="304"/>
        <v>SIM</v>
      </c>
      <c r="V897" s="1">
        <f t="shared" si="305"/>
        <v>1424</v>
      </c>
      <c r="W897" s="4">
        <f t="shared" si="306"/>
        <v>2.106741573033708</v>
      </c>
      <c r="X897" s="4">
        <f t="shared" si="307"/>
        <v>768.9606741573034</v>
      </c>
      <c r="Y897" s="4">
        <f t="shared" si="308"/>
        <v>0.9612008426966292</v>
      </c>
      <c r="AB897" s="5">
        <f t="shared" si="309"/>
        <v>45292</v>
      </c>
      <c r="AC897" s="5">
        <f t="shared" si="310"/>
        <v>45657</v>
      </c>
      <c r="AD897" s="1">
        <v>31</v>
      </c>
      <c r="AE897" s="1">
        <f t="shared" si="311"/>
        <v>366</v>
      </c>
      <c r="AF897" s="1">
        <f t="shared" si="312"/>
        <v>0</v>
      </c>
      <c r="AG897" s="1">
        <f t="shared" si="313"/>
        <v>0</v>
      </c>
      <c r="AH897" s="1">
        <f t="shared" si="314"/>
        <v>0</v>
      </c>
      <c r="AI897" s="1">
        <f t="shared" si="315"/>
        <v>0</v>
      </c>
      <c r="AJ897" s="3">
        <f t="shared" si="316"/>
        <v>1</v>
      </c>
      <c r="AK897" s="3">
        <f t="shared" si="317"/>
        <v>0.9612008426966292</v>
      </c>
      <c r="AL897" s="3">
        <f t="shared" si="318"/>
        <v>29.797226123595504</v>
      </c>
      <c r="AM897" s="3">
        <f t="shared" si="319"/>
        <v>29.797226123595504</v>
      </c>
      <c r="AN897" s="3">
        <f t="shared" si="320"/>
        <v>0</v>
      </c>
      <c r="AO897" s="3">
        <f t="shared" si="321"/>
        <v>29.797226123595504</v>
      </c>
      <c r="AP897" s="1" t="str">
        <f>INDEX({"EAD";"EAD";"EAD";"EAD MOOC";"EAD";"EAD";"EAD FP";"EAD";"PRESENCIAL";"PRESENCIAL";"PRESENCIAL";"PRESENCIAL"}, MATCH(CONCATENATE(E897, ".", F897),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98" spans="1:42" x14ac:dyDescent="0.25">
      <c r="A898" s="1" t="s">
        <v>27</v>
      </c>
      <c r="B898" s="1" t="s">
        <v>50</v>
      </c>
      <c r="C898" s="1" t="s">
        <v>29</v>
      </c>
      <c r="D898" s="1" t="s">
        <v>51</v>
      </c>
      <c r="E898" s="1" t="s">
        <v>120</v>
      </c>
      <c r="F898" s="1" t="s">
        <v>21</v>
      </c>
      <c r="G898" s="1" t="s">
        <v>278</v>
      </c>
      <c r="H898" s="1" t="s">
        <v>405</v>
      </c>
      <c r="I898" s="1" t="s">
        <v>172</v>
      </c>
      <c r="J898" s="1" t="s">
        <v>125</v>
      </c>
      <c r="K898" s="1" t="s">
        <v>109</v>
      </c>
      <c r="L898" s="1">
        <v>2837900</v>
      </c>
      <c r="M898" s="1" t="s">
        <v>1069</v>
      </c>
      <c r="N898" s="5">
        <f t="shared" si="323"/>
        <v>44599</v>
      </c>
      <c r="O898" s="5">
        <f>DATE(2025,12,31)</f>
        <v>46022</v>
      </c>
      <c r="P898" s="5">
        <f t="shared" si="302"/>
        <v>47117</v>
      </c>
      <c r="Q898" s="1">
        <v>2997</v>
      </c>
      <c r="R898" s="1">
        <v>3200</v>
      </c>
      <c r="S898" s="1">
        <f t="shared" si="303"/>
        <v>3200</v>
      </c>
      <c r="T898" s="1">
        <v>2.5</v>
      </c>
      <c r="U898" s="1" t="str">
        <f t="shared" si="304"/>
        <v>SIM</v>
      </c>
      <c r="V898" s="1">
        <f t="shared" si="305"/>
        <v>1424</v>
      </c>
      <c r="W898" s="4">
        <f t="shared" si="306"/>
        <v>2.104634831460674</v>
      </c>
      <c r="X898" s="4">
        <f t="shared" si="307"/>
        <v>768.19171348314603</v>
      </c>
      <c r="Y898" s="4">
        <f t="shared" si="308"/>
        <v>0.96023964185393251</v>
      </c>
      <c r="AB898" s="5">
        <f t="shared" si="309"/>
        <v>45292</v>
      </c>
      <c r="AC898" s="5">
        <f t="shared" si="310"/>
        <v>45657</v>
      </c>
      <c r="AD898" s="1">
        <v>15</v>
      </c>
      <c r="AE898" s="1">
        <f t="shared" si="311"/>
        <v>366</v>
      </c>
      <c r="AF898" s="1">
        <f t="shared" si="312"/>
        <v>0</v>
      </c>
      <c r="AG898" s="1">
        <f t="shared" si="313"/>
        <v>0</v>
      </c>
      <c r="AH898" s="1">
        <f t="shared" si="314"/>
        <v>0</v>
      </c>
      <c r="AI898" s="1">
        <f t="shared" si="315"/>
        <v>0</v>
      </c>
      <c r="AJ898" s="3">
        <f t="shared" si="316"/>
        <v>1</v>
      </c>
      <c r="AK898" s="3">
        <f t="shared" si="317"/>
        <v>0.96023964185393251</v>
      </c>
      <c r="AL898" s="3">
        <f t="shared" si="318"/>
        <v>14.403594627808987</v>
      </c>
      <c r="AM898" s="3">
        <f t="shared" si="319"/>
        <v>36.00898656952247</v>
      </c>
      <c r="AN898" s="3">
        <f t="shared" si="320"/>
        <v>0</v>
      </c>
      <c r="AO898" s="3">
        <f t="shared" si="321"/>
        <v>36.00898656952247</v>
      </c>
      <c r="AP898" s="1" t="str">
        <f>INDEX({"EAD";"EAD";"EAD";"EAD MOOC";"EAD";"EAD";"EAD FP";"EAD";"PRESENCIAL";"PRESENCIAL";"PRESENCIAL";"PRESENCIAL"}, MATCH(CONCATENATE(E898, ".", F898),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899" spans="1:42" x14ac:dyDescent="0.25">
      <c r="A899" s="1" t="s">
        <v>27</v>
      </c>
      <c r="B899" s="1" t="s">
        <v>50</v>
      </c>
      <c r="C899" s="1" t="s">
        <v>29</v>
      </c>
      <c r="D899" s="1" t="s">
        <v>51</v>
      </c>
      <c r="E899" s="1" t="s">
        <v>120</v>
      </c>
      <c r="F899" s="1" t="s">
        <v>21</v>
      </c>
      <c r="G899" s="1" t="s">
        <v>278</v>
      </c>
      <c r="H899" s="1" t="s">
        <v>320</v>
      </c>
      <c r="I899" s="1" t="s">
        <v>172</v>
      </c>
      <c r="J899" s="1" t="s">
        <v>125</v>
      </c>
      <c r="K899" s="1" t="s">
        <v>109</v>
      </c>
      <c r="L899" s="1">
        <v>2837901</v>
      </c>
      <c r="M899" s="1" t="s">
        <v>1070</v>
      </c>
      <c r="N899" s="5">
        <f t="shared" si="323"/>
        <v>44599</v>
      </c>
      <c r="O899" s="5">
        <f>DATE(2025,12,31)</f>
        <v>46022</v>
      </c>
      <c r="P899" s="5">
        <f t="shared" si="302"/>
        <v>47117</v>
      </c>
      <c r="Q899" s="1">
        <v>3054</v>
      </c>
      <c r="R899" s="1">
        <v>3200</v>
      </c>
      <c r="S899" s="1">
        <f t="shared" si="303"/>
        <v>3200</v>
      </c>
      <c r="T899" s="1">
        <v>2.5</v>
      </c>
      <c r="U899" s="1" t="str">
        <f t="shared" si="304"/>
        <v>SIM</v>
      </c>
      <c r="V899" s="1">
        <f t="shared" si="305"/>
        <v>1424</v>
      </c>
      <c r="W899" s="4">
        <f t="shared" si="306"/>
        <v>2.1446629213483148</v>
      </c>
      <c r="X899" s="4">
        <f t="shared" si="307"/>
        <v>782.80196629213492</v>
      </c>
      <c r="Y899" s="4">
        <f t="shared" si="308"/>
        <v>0.97850245786516865</v>
      </c>
      <c r="AB899" s="5">
        <f t="shared" si="309"/>
        <v>45292</v>
      </c>
      <c r="AC899" s="5">
        <f t="shared" si="310"/>
        <v>45657</v>
      </c>
      <c r="AD899" s="1">
        <v>13</v>
      </c>
      <c r="AE899" s="1">
        <f t="shared" si="311"/>
        <v>366</v>
      </c>
      <c r="AF899" s="1">
        <f t="shared" si="312"/>
        <v>0</v>
      </c>
      <c r="AG899" s="1">
        <f t="shared" si="313"/>
        <v>0</v>
      </c>
      <c r="AH899" s="1">
        <f t="shared" si="314"/>
        <v>0</v>
      </c>
      <c r="AI899" s="1">
        <f t="shared" si="315"/>
        <v>0</v>
      </c>
      <c r="AJ899" s="3">
        <f t="shared" si="316"/>
        <v>1</v>
      </c>
      <c r="AK899" s="3">
        <f t="shared" si="317"/>
        <v>0.97850245786516865</v>
      </c>
      <c r="AL899" s="3">
        <f t="shared" si="318"/>
        <v>12.720531952247192</v>
      </c>
      <c r="AM899" s="3">
        <f t="shared" si="319"/>
        <v>31.801329880617981</v>
      </c>
      <c r="AN899" s="3">
        <f t="shared" si="320"/>
        <v>0</v>
      </c>
      <c r="AO899" s="3">
        <f t="shared" si="321"/>
        <v>31.801329880617981</v>
      </c>
      <c r="AP899" s="1" t="str">
        <f>INDEX({"EAD";"EAD";"EAD";"EAD MOOC";"EAD";"EAD";"EAD FP";"EAD";"PRESENCIAL";"PRESENCIAL";"PRESENCIAL";"PRESENCIAL"}, MATCH(CONCATENATE(E899, ".", F899),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00" spans="1:42" x14ac:dyDescent="0.25">
      <c r="A900" s="1" t="s">
        <v>27</v>
      </c>
      <c r="B900" s="1" t="s">
        <v>50</v>
      </c>
      <c r="C900" s="1" t="s">
        <v>29</v>
      </c>
      <c r="D900" s="1" t="s">
        <v>51</v>
      </c>
      <c r="E900" s="1" t="s">
        <v>120</v>
      </c>
      <c r="F900" s="1" t="s">
        <v>21</v>
      </c>
      <c r="G900" s="1" t="s">
        <v>128</v>
      </c>
      <c r="H900" s="1" t="s">
        <v>132</v>
      </c>
      <c r="I900" s="1" t="s">
        <v>107</v>
      </c>
      <c r="J900" s="1" t="s">
        <v>108</v>
      </c>
      <c r="K900" s="1" t="s">
        <v>130</v>
      </c>
      <c r="L900" s="1">
        <v>2949040</v>
      </c>
      <c r="M900" s="1" t="s">
        <v>1071</v>
      </c>
      <c r="N900" s="5">
        <f t="shared" ref="N900:N906" si="324">DATE(2023,2,6)</f>
        <v>44963</v>
      </c>
      <c r="O900" s="5">
        <f>DATE(2025,12,23)</f>
        <v>46014</v>
      </c>
      <c r="P900" s="5">
        <f t="shared" ref="P900:P963" si="325">IF(G900="QUALIFICACAO PROFISSIONAL (FIC)",O900,O900+1095)</f>
        <v>47109</v>
      </c>
      <c r="Q900" s="1">
        <v>4048</v>
      </c>
      <c r="R900" s="1">
        <v>1200</v>
      </c>
      <c r="S900" s="1">
        <f t="shared" ref="S900:S963" si="326">IF(OR(G900="QUALIFICACAO PROFISSIONAL (FIC)",G900="DOUTORADO"),Q900,    IF(ISNUMBER(FIND("PROEJA",K900)),2400,        IF(K900="INTEGRADO",            IF(R900=800,3000,                IF(R900=1000,3100,                    IF(R900=1200,3200,R900)                )            ),            R900        )    ))</f>
        <v>3200</v>
      </c>
      <c r="T900" s="1">
        <v>2.5</v>
      </c>
      <c r="U900" s="1" t="str">
        <f t="shared" ref="U900:U963" si="327">IF(P900&lt;AB900,"NÃO","SIM")</f>
        <v>SIM</v>
      </c>
      <c r="V900" s="1">
        <f t="shared" ref="V900:V963" si="328">O900-N900+1</f>
        <v>1052</v>
      </c>
      <c r="W900" s="4">
        <f t="shared" ref="W900:W963" si="329">IF(S900&gt;Q900,Q900,S900)/V900</f>
        <v>3.041825095057034</v>
      </c>
      <c r="X900" s="4">
        <f t="shared" ref="X900:X963" si="330">IF(V900&gt;365,W900*365,S900)</f>
        <v>1110.2661596958174</v>
      </c>
      <c r="Y900" s="4">
        <f t="shared" ref="Y900:Y963" si="331">IF(V900&gt;365,X900/800,S900/800)</f>
        <v>1.3878326996197716</v>
      </c>
      <c r="AB900" s="5">
        <f t="shared" ref="AB900:AB963" si="332">DATE(2024,1,1)</f>
        <v>45292</v>
      </c>
      <c r="AC900" s="5">
        <f t="shared" ref="AC900:AC963" si="333">DATE(2024,12,31)</f>
        <v>45657</v>
      </c>
      <c r="AD900" s="1">
        <v>73</v>
      </c>
      <c r="AE900" s="1">
        <f t="shared" ref="AE900:AE963" si="334">IF(AND(N900&lt;AB900,O900&gt;AC900),AC900-AB900+1,0)</f>
        <v>366</v>
      </c>
      <c r="AF900" s="1">
        <f t="shared" ref="AF900:AF963" si="335">IF(AND(N900&gt;=AB900,O900&gt;AC900,N900&lt;AC900),AC900-N900+1,0)</f>
        <v>0</v>
      </c>
      <c r="AG900" s="1">
        <f t="shared" ref="AG900:AG963" si="336">IF(AND(N900&lt;AB900,O900&lt;=AC900,O900&gt;=AB900),O900-AB900+1,0)</f>
        <v>0</v>
      </c>
      <c r="AH900" s="1">
        <f t="shared" ref="AH900:AH963" si="337">IF(AND(N900&gt;=AB900,O900&lt;=AC900),O900-N900+1,0)</f>
        <v>0</v>
      </c>
      <c r="AI900" s="1">
        <f t="shared" ref="AI900:AI963" si="338">IF(AND(N900&lt;AB900,O900&lt;AB900),(AC900-AB900+1)/2,0)</f>
        <v>0</v>
      </c>
      <c r="AJ900" s="3">
        <f t="shared" ref="AJ900:AJ963" si="339">SUM(AE900:AI900)/IF(V900&gt;=365,AC900-AB900+1,V900)</f>
        <v>1</v>
      </c>
      <c r="AK900" s="3">
        <f t="shared" ref="AK900:AK963" si="340">Y900*AJ900</f>
        <v>1.3878326996197716</v>
      </c>
      <c r="AL900" s="3">
        <f t="shared" ref="AL900:AL963" si="341">IF(AI900=0,AK900*AD900,IF(U900="SIM",AK900*(AD900/2),0))</f>
        <v>101.31178707224333</v>
      </c>
      <c r="AM900" s="3">
        <f t="shared" ref="AM900:AM963" si="342">AL900*T900</f>
        <v>253.27946768060832</v>
      </c>
      <c r="AN900" s="3">
        <f t="shared" ref="AN900:AN963" si="343">IF(J900="SIM",AM900*50%,0)</f>
        <v>126.63973384030416</v>
      </c>
      <c r="AO900" s="3">
        <f t="shared" ref="AO900:AO963" si="344">IF(U900="SIM",AM900+AN900,0)</f>
        <v>379.91920152091245</v>
      </c>
      <c r="AP900" s="1" t="str">
        <f>INDEX({"EAD";"EAD";"EAD";"EAD MOOC";"EAD";"EAD";"EAD FP";"EAD";"PRESENCIAL";"PRESENCIAL";"PRESENCIAL";"PRESENCIAL"}, MATCH(CONCATENATE(E900, ".", F900),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01" spans="1:42" x14ac:dyDescent="0.25">
      <c r="A901" s="1" t="s">
        <v>27</v>
      </c>
      <c r="B901" s="1" t="s">
        <v>50</v>
      </c>
      <c r="C901" s="1" t="s">
        <v>29</v>
      </c>
      <c r="D901" s="1" t="s">
        <v>51</v>
      </c>
      <c r="E901" s="1" t="s">
        <v>120</v>
      </c>
      <c r="F901" s="1" t="s">
        <v>21</v>
      </c>
      <c r="G901" s="1" t="s">
        <v>128</v>
      </c>
      <c r="H901" s="1" t="s">
        <v>206</v>
      </c>
      <c r="I901" s="1" t="s">
        <v>124</v>
      </c>
      <c r="J901" s="1" t="s">
        <v>125</v>
      </c>
      <c r="K901" s="1" t="s">
        <v>130</v>
      </c>
      <c r="L901" s="1">
        <v>2949044</v>
      </c>
      <c r="M901" s="1" t="s">
        <v>1072</v>
      </c>
      <c r="N901" s="5">
        <f t="shared" si="324"/>
        <v>44963</v>
      </c>
      <c r="O901" s="5">
        <f>DATE(2025,12,23)</f>
        <v>46014</v>
      </c>
      <c r="P901" s="5">
        <f t="shared" si="325"/>
        <v>47109</v>
      </c>
      <c r="Q901" s="1">
        <v>3560</v>
      </c>
      <c r="R901" s="1">
        <v>800</v>
      </c>
      <c r="S901" s="1">
        <f t="shared" si="326"/>
        <v>3000</v>
      </c>
      <c r="T901" s="1">
        <v>1.5</v>
      </c>
      <c r="U901" s="1" t="str">
        <f t="shared" si="327"/>
        <v>SIM</v>
      </c>
      <c r="V901" s="1">
        <f t="shared" si="328"/>
        <v>1052</v>
      </c>
      <c r="W901" s="4">
        <f t="shared" si="329"/>
        <v>2.8517110266159698</v>
      </c>
      <c r="X901" s="4">
        <f t="shared" si="330"/>
        <v>1040.874524714829</v>
      </c>
      <c r="Y901" s="4">
        <f t="shared" si="331"/>
        <v>1.3010931558935364</v>
      </c>
      <c r="AB901" s="5">
        <f t="shared" si="332"/>
        <v>45292</v>
      </c>
      <c r="AC901" s="5">
        <f t="shared" si="333"/>
        <v>45657</v>
      </c>
      <c r="AD901" s="1">
        <v>15</v>
      </c>
      <c r="AE901" s="1">
        <f t="shared" si="334"/>
        <v>366</v>
      </c>
      <c r="AF901" s="1">
        <f t="shared" si="335"/>
        <v>0</v>
      </c>
      <c r="AG901" s="1">
        <f t="shared" si="336"/>
        <v>0</v>
      </c>
      <c r="AH901" s="1">
        <f t="shared" si="337"/>
        <v>0</v>
      </c>
      <c r="AI901" s="1">
        <f t="shared" si="338"/>
        <v>0</v>
      </c>
      <c r="AJ901" s="3">
        <f t="shared" si="339"/>
        <v>1</v>
      </c>
      <c r="AK901" s="3">
        <f t="shared" si="340"/>
        <v>1.3010931558935364</v>
      </c>
      <c r="AL901" s="3">
        <f t="shared" si="341"/>
        <v>19.516397338403046</v>
      </c>
      <c r="AM901" s="3">
        <f t="shared" si="342"/>
        <v>29.274596007604568</v>
      </c>
      <c r="AN901" s="3">
        <f t="shared" si="343"/>
        <v>0</v>
      </c>
      <c r="AO901" s="3">
        <f t="shared" si="344"/>
        <v>29.274596007604568</v>
      </c>
      <c r="AP901" s="1" t="str">
        <f>INDEX({"EAD";"EAD";"EAD";"EAD MOOC";"EAD";"EAD";"EAD FP";"EAD";"PRESENCIAL";"PRESENCIAL";"PRESENCIAL";"PRESENCIAL"}, MATCH(CONCATENATE(E901, ".", F901),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02" spans="1:42" x14ac:dyDescent="0.25">
      <c r="A902" s="1" t="s">
        <v>27</v>
      </c>
      <c r="B902" s="1" t="s">
        <v>50</v>
      </c>
      <c r="C902" s="1" t="s">
        <v>29</v>
      </c>
      <c r="D902" s="1" t="s">
        <v>51</v>
      </c>
      <c r="E902" s="1" t="s">
        <v>120</v>
      </c>
      <c r="F902" s="1" t="s">
        <v>21</v>
      </c>
      <c r="G902" s="1" t="s">
        <v>128</v>
      </c>
      <c r="H902" s="1" t="s">
        <v>907</v>
      </c>
      <c r="I902" s="1" t="s">
        <v>224</v>
      </c>
      <c r="J902" s="1" t="s">
        <v>125</v>
      </c>
      <c r="K902" s="1" t="s">
        <v>130</v>
      </c>
      <c r="L902" s="1">
        <v>2949072</v>
      </c>
      <c r="M902" s="1" t="s">
        <v>1073</v>
      </c>
      <c r="N902" s="5">
        <f t="shared" si="324"/>
        <v>44963</v>
      </c>
      <c r="O902" s="5">
        <f>DATE(2025,12,23)</f>
        <v>46014</v>
      </c>
      <c r="P902" s="5">
        <f t="shared" si="325"/>
        <v>47109</v>
      </c>
      <c r="Q902" s="1">
        <v>3690</v>
      </c>
      <c r="R902" s="1">
        <v>1200</v>
      </c>
      <c r="S902" s="1">
        <f t="shared" si="326"/>
        <v>3200</v>
      </c>
      <c r="T902" s="1">
        <v>1.5</v>
      </c>
      <c r="U902" s="1" t="str">
        <f t="shared" si="327"/>
        <v>SIM</v>
      </c>
      <c r="V902" s="1">
        <f t="shared" si="328"/>
        <v>1052</v>
      </c>
      <c r="W902" s="4">
        <f t="shared" si="329"/>
        <v>3.041825095057034</v>
      </c>
      <c r="X902" s="4">
        <f t="shared" si="330"/>
        <v>1110.2661596958174</v>
      </c>
      <c r="Y902" s="4">
        <f t="shared" si="331"/>
        <v>1.3878326996197716</v>
      </c>
      <c r="AB902" s="5">
        <f t="shared" si="332"/>
        <v>45292</v>
      </c>
      <c r="AC902" s="5">
        <f t="shared" si="333"/>
        <v>45657</v>
      </c>
      <c r="AD902" s="1">
        <v>24</v>
      </c>
      <c r="AE902" s="1">
        <f t="shared" si="334"/>
        <v>366</v>
      </c>
      <c r="AF902" s="1">
        <f t="shared" si="335"/>
        <v>0</v>
      </c>
      <c r="AG902" s="1">
        <f t="shared" si="336"/>
        <v>0</v>
      </c>
      <c r="AH902" s="1">
        <f t="shared" si="337"/>
        <v>0</v>
      </c>
      <c r="AI902" s="1">
        <f t="shared" si="338"/>
        <v>0</v>
      </c>
      <c r="AJ902" s="3">
        <f t="shared" si="339"/>
        <v>1</v>
      </c>
      <c r="AK902" s="3">
        <f t="shared" si="340"/>
        <v>1.3878326996197716</v>
      </c>
      <c r="AL902" s="3">
        <f t="shared" si="341"/>
        <v>33.307984790874521</v>
      </c>
      <c r="AM902" s="3">
        <f t="shared" si="342"/>
        <v>49.961977186311785</v>
      </c>
      <c r="AN902" s="3">
        <f t="shared" si="343"/>
        <v>0</v>
      </c>
      <c r="AO902" s="3">
        <f t="shared" si="344"/>
        <v>49.961977186311785</v>
      </c>
      <c r="AP902" s="1" t="str">
        <f>INDEX({"EAD";"EAD";"EAD";"EAD MOOC";"EAD";"EAD";"EAD FP";"EAD";"PRESENCIAL";"PRESENCIAL";"PRESENCIAL";"PRESENCIAL"}, MATCH(CONCATENATE(E902, ".", F902),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03" spans="1:42" x14ac:dyDescent="0.25">
      <c r="A903" s="1" t="s">
        <v>27</v>
      </c>
      <c r="B903" s="1" t="s">
        <v>50</v>
      </c>
      <c r="C903" s="1" t="s">
        <v>29</v>
      </c>
      <c r="D903" s="1" t="s">
        <v>51</v>
      </c>
      <c r="E903" s="1" t="s">
        <v>120</v>
      </c>
      <c r="F903" s="1" t="s">
        <v>21</v>
      </c>
      <c r="G903" s="1" t="s">
        <v>121</v>
      </c>
      <c r="H903" s="1" t="s">
        <v>123</v>
      </c>
      <c r="I903" s="1" t="s">
        <v>124</v>
      </c>
      <c r="J903" s="1" t="s">
        <v>125</v>
      </c>
      <c r="K903" s="1" t="s">
        <v>109</v>
      </c>
      <c r="L903" s="1">
        <v>2949120</v>
      </c>
      <c r="M903" s="1" t="s">
        <v>1074</v>
      </c>
      <c r="N903" s="5">
        <f t="shared" si="324"/>
        <v>44963</v>
      </c>
      <c r="O903" s="5">
        <f>DATE(2026,12,23)</f>
        <v>46379</v>
      </c>
      <c r="P903" s="5">
        <f t="shared" si="325"/>
        <v>47474</v>
      </c>
      <c r="Q903" s="1">
        <v>3208</v>
      </c>
      <c r="R903" s="1">
        <v>3000</v>
      </c>
      <c r="S903" s="1">
        <f t="shared" si="326"/>
        <v>3000</v>
      </c>
      <c r="T903" s="1">
        <v>1</v>
      </c>
      <c r="U903" s="1" t="str">
        <f t="shared" si="327"/>
        <v>SIM</v>
      </c>
      <c r="V903" s="1">
        <f t="shared" si="328"/>
        <v>1417</v>
      </c>
      <c r="W903" s="4">
        <f t="shared" si="329"/>
        <v>2.1171489061397319</v>
      </c>
      <c r="X903" s="4">
        <f t="shared" si="330"/>
        <v>772.75935074100221</v>
      </c>
      <c r="Y903" s="4">
        <f t="shared" si="331"/>
        <v>0.96594918842625277</v>
      </c>
      <c r="AB903" s="5">
        <f t="shared" si="332"/>
        <v>45292</v>
      </c>
      <c r="AC903" s="5">
        <f t="shared" si="333"/>
        <v>45657</v>
      </c>
      <c r="AD903" s="1">
        <v>39</v>
      </c>
      <c r="AE903" s="1">
        <f t="shared" si="334"/>
        <v>366</v>
      </c>
      <c r="AF903" s="1">
        <f t="shared" si="335"/>
        <v>0</v>
      </c>
      <c r="AG903" s="1">
        <f t="shared" si="336"/>
        <v>0</v>
      </c>
      <c r="AH903" s="1">
        <f t="shared" si="337"/>
        <v>0</v>
      </c>
      <c r="AI903" s="1">
        <f t="shared" si="338"/>
        <v>0</v>
      </c>
      <c r="AJ903" s="3">
        <f t="shared" si="339"/>
        <v>1</v>
      </c>
      <c r="AK903" s="3">
        <f t="shared" si="340"/>
        <v>0.96594918842625277</v>
      </c>
      <c r="AL903" s="3">
        <f t="shared" si="341"/>
        <v>37.672018348623858</v>
      </c>
      <c r="AM903" s="3">
        <f t="shared" si="342"/>
        <v>37.672018348623858</v>
      </c>
      <c r="AN903" s="3">
        <f t="shared" si="343"/>
        <v>0</v>
      </c>
      <c r="AO903" s="3">
        <f t="shared" si="344"/>
        <v>37.672018348623858</v>
      </c>
      <c r="AP903" s="1" t="str">
        <f>INDEX({"EAD";"EAD";"EAD";"EAD MOOC";"EAD";"EAD";"EAD FP";"EAD";"PRESENCIAL";"PRESENCIAL";"PRESENCIAL";"PRESENCIAL"}, MATCH(CONCATENATE(E903, ".", F903),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04" spans="1:42" x14ac:dyDescent="0.25">
      <c r="A904" s="1" t="s">
        <v>27</v>
      </c>
      <c r="B904" s="1" t="s">
        <v>50</v>
      </c>
      <c r="C904" s="1" t="s">
        <v>29</v>
      </c>
      <c r="D904" s="1" t="s">
        <v>51</v>
      </c>
      <c r="E904" s="1" t="s">
        <v>120</v>
      </c>
      <c r="F904" s="1" t="s">
        <v>21</v>
      </c>
      <c r="G904" s="1" t="s">
        <v>278</v>
      </c>
      <c r="H904" s="1" t="s">
        <v>405</v>
      </c>
      <c r="I904" s="1" t="s">
        <v>172</v>
      </c>
      <c r="J904" s="1" t="s">
        <v>125</v>
      </c>
      <c r="K904" s="1" t="s">
        <v>109</v>
      </c>
      <c r="L904" s="1">
        <v>2949122</v>
      </c>
      <c r="M904" s="1" t="s">
        <v>1075</v>
      </c>
      <c r="N904" s="5">
        <f t="shared" si="324"/>
        <v>44963</v>
      </c>
      <c r="O904" s="5">
        <f>DATE(2026,12,23)</f>
        <v>46379</v>
      </c>
      <c r="P904" s="5">
        <f t="shared" si="325"/>
        <v>47474</v>
      </c>
      <c r="Q904" s="1">
        <v>2997</v>
      </c>
      <c r="R904" s="1">
        <v>3200</v>
      </c>
      <c r="S904" s="1">
        <f t="shared" si="326"/>
        <v>3200</v>
      </c>
      <c r="T904" s="1">
        <v>2.5</v>
      </c>
      <c r="U904" s="1" t="str">
        <f t="shared" si="327"/>
        <v>SIM</v>
      </c>
      <c r="V904" s="1">
        <f t="shared" si="328"/>
        <v>1417</v>
      </c>
      <c r="W904" s="4">
        <f t="shared" si="329"/>
        <v>2.1150317572335919</v>
      </c>
      <c r="X904" s="4">
        <f t="shared" si="330"/>
        <v>771.98659139026108</v>
      </c>
      <c r="Y904" s="4">
        <f t="shared" si="331"/>
        <v>0.96498323923782636</v>
      </c>
      <c r="AB904" s="5">
        <f t="shared" si="332"/>
        <v>45292</v>
      </c>
      <c r="AC904" s="5">
        <f t="shared" si="333"/>
        <v>45657</v>
      </c>
      <c r="AD904" s="1">
        <v>31</v>
      </c>
      <c r="AE904" s="1">
        <f t="shared" si="334"/>
        <v>366</v>
      </c>
      <c r="AF904" s="1">
        <f t="shared" si="335"/>
        <v>0</v>
      </c>
      <c r="AG904" s="1">
        <f t="shared" si="336"/>
        <v>0</v>
      </c>
      <c r="AH904" s="1">
        <f t="shared" si="337"/>
        <v>0</v>
      </c>
      <c r="AI904" s="1">
        <f t="shared" si="338"/>
        <v>0</v>
      </c>
      <c r="AJ904" s="3">
        <f t="shared" si="339"/>
        <v>1</v>
      </c>
      <c r="AK904" s="3">
        <f t="shared" si="340"/>
        <v>0.96498323923782636</v>
      </c>
      <c r="AL904" s="3">
        <f t="shared" si="341"/>
        <v>29.914480416372616</v>
      </c>
      <c r="AM904" s="3">
        <f t="shared" si="342"/>
        <v>74.786201040931545</v>
      </c>
      <c r="AN904" s="3">
        <f t="shared" si="343"/>
        <v>0</v>
      </c>
      <c r="AO904" s="3">
        <f t="shared" si="344"/>
        <v>74.786201040931545</v>
      </c>
      <c r="AP904" s="1" t="str">
        <f>INDEX({"EAD";"EAD";"EAD";"EAD MOOC";"EAD";"EAD";"EAD FP";"EAD";"PRESENCIAL";"PRESENCIAL";"PRESENCIAL";"PRESENCIAL"}, MATCH(CONCATENATE(E904, ".", F904),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05" spans="1:42" x14ac:dyDescent="0.25">
      <c r="A905" s="1" t="s">
        <v>27</v>
      </c>
      <c r="B905" s="1" t="s">
        <v>50</v>
      </c>
      <c r="C905" s="1" t="s">
        <v>29</v>
      </c>
      <c r="D905" s="1" t="s">
        <v>51</v>
      </c>
      <c r="E905" s="1" t="s">
        <v>120</v>
      </c>
      <c r="F905" s="1" t="s">
        <v>21</v>
      </c>
      <c r="G905" s="1" t="s">
        <v>278</v>
      </c>
      <c r="H905" s="1" t="s">
        <v>320</v>
      </c>
      <c r="I905" s="1" t="s">
        <v>172</v>
      </c>
      <c r="J905" s="1" t="s">
        <v>125</v>
      </c>
      <c r="K905" s="1" t="s">
        <v>109</v>
      </c>
      <c r="L905" s="1">
        <v>2949126</v>
      </c>
      <c r="M905" s="1" t="s">
        <v>1076</v>
      </c>
      <c r="N905" s="5">
        <f t="shared" si="324"/>
        <v>44963</v>
      </c>
      <c r="O905" s="5">
        <f>DATE(2026,12,23)</f>
        <v>46379</v>
      </c>
      <c r="P905" s="5">
        <f t="shared" si="325"/>
        <v>47474</v>
      </c>
      <c r="Q905" s="1">
        <v>3054</v>
      </c>
      <c r="R905" s="1">
        <v>3200</v>
      </c>
      <c r="S905" s="1">
        <f t="shared" si="326"/>
        <v>3200</v>
      </c>
      <c r="T905" s="1">
        <v>2.5</v>
      </c>
      <c r="U905" s="1" t="str">
        <f t="shared" si="327"/>
        <v>SIM</v>
      </c>
      <c r="V905" s="1">
        <f t="shared" si="328"/>
        <v>1417</v>
      </c>
      <c r="W905" s="4">
        <f t="shared" si="329"/>
        <v>2.1552575864502468</v>
      </c>
      <c r="X905" s="4">
        <f t="shared" si="330"/>
        <v>786.66901905434008</v>
      </c>
      <c r="Y905" s="4">
        <f t="shared" si="331"/>
        <v>0.9833362738179251</v>
      </c>
      <c r="AB905" s="5">
        <f t="shared" si="332"/>
        <v>45292</v>
      </c>
      <c r="AC905" s="5">
        <f t="shared" si="333"/>
        <v>45657</v>
      </c>
      <c r="AD905" s="1">
        <v>11</v>
      </c>
      <c r="AE905" s="1">
        <f t="shared" si="334"/>
        <v>366</v>
      </c>
      <c r="AF905" s="1">
        <f t="shared" si="335"/>
        <v>0</v>
      </c>
      <c r="AG905" s="1">
        <f t="shared" si="336"/>
        <v>0</v>
      </c>
      <c r="AH905" s="1">
        <f t="shared" si="337"/>
        <v>0</v>
      </c>
      <c r="AI905" s="1">
        <f t="shared" si="338"/>
        <v>0</v>
      </c>
      <c r="AJ905" s="3">
        <f t="shared" si="339"/>
        <v>1</v>
      </c>
      <c r="AK905" s="3">
        <f t="shared" si="340"/>
        <v>0.9833362738179251</v>
      </c>
      <c r="AL905" s="3">
        <f t="shared" si="341"/>
        <v>10.816699011997176</v>
      </c>
      <c r="AM905" s="3">
        <f t="shared" si="342"/>
        <v>27.041747529992939</v>
      </c>
      <c r="AN905" s="3">
        <f t="shared" si="343"/>
        <v>0</v>
      </c>
      <c r="AO905" s="3">
        <f t="shared" si="344"/>
        <v>27.041747529992939</v>
      </c>
      <c r="AP905" s="1" t="str">
        <f>INDEX({"EAD";"EAD";"EAD";"EAD MOOC";"EAD";"EAD";"EAD FP";"EAD";"PRESENCIAL";"PRESENCIAL";"PRESENCIAL";"PRESENCIAL"}, MATCH(CONCATENATE(E905, ".", F905),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06" spans="1:42" x14ac:dyDescent="0.25">
      <c r="A906" s="1" t="s">
        <v>27</v>
      </c>
      <c r="B906" s="1" t="s">
        <v>50</v>
      </c>
      <c r="C906" s="1" t="s">
        <v>29</v>
      </c>
      <c r="D906" s="1" t="s">
        <v>51</v>
      </c>
      <c r="E906" s="1" t="s">
        <v>120</v>
      </c>
      <c r="F906" s="1" t="s">
        <v>21</v>
      </c>
      <c r="G906" s="1" t="s">
        <v>121</v>
      </c>
      <c r="H906" s="1" t="s">
        <v>322</v>
      </c>
      <c r="I906" s="1" t="s">
        <v>107</v>
      </c>
      <c r="J906" s="1" t="s">
        <v>108</v>
      </c>
      <c r="K906" s="1" t="s">
        <v>109</v>
      </c>
      <c r="L906" s="1">
        <v>2953126</v>
      </c>
      <c r="M906" s="1" t="s">
        <v>1077</v>
      </c>
      <c r="N906" s="5">
        <f t="shared" si="324"/>
        <v>44963</v>
      </c>
      <c r="O906" s="5">
        <f>DATE(2027,12,23)</f>
        <v>46744</v>
      </c>
      <c r="P906" s="5">
        <f t="shared" si="325"/>
        <v>47839</v>
      </c>
      <c r="Q906" s="1">
        <v>3780</v>
      </c>
      <c r="R906" s="1">
        <v>3600</v>
      </c>
      <c r="S906" s="1">
        <f t="shared" si="326"/>
        <v>3600</v>
      </c>
      <c r="T906" s="1">
        <v>2.5</v>
      </c>
      <c r="U906" s="1" t="str">
        <f t="shared" si="327"/>
        <v>SIM</v>
      </c>
      <c r="V906" s="1">
        <f t="shared" si="328"/>
        <v>1782</v>
      </c>
      <c r="W906" s="4">
        <f t="shared" si="329"/>
        <v>2.0202020202020203</v>
      </c>
      <c r="X906" s="4">
        <f t="shared" si="330"/>
        <v>737.37373737373741</v>
      </c>
      <c r="Y906" s="4">
        <f t="shared" si="331"/>
        <v>0.92171717171717171</v>
      </c>
      <c r="AB906" s="5">
        <f t="shared" si="332"/>
        <v>45292</v>
      </c>
      <c r="AC906" s="5">
        <f t="shared" si="333"/>
        <v>45657</v>
      </c>
      <c r="AD906" s="1">
        <v>35</v>
      </c>
      <c r="AE906" s="1">
        <f t="shared" si="334"/>
        <v>366</v>
      </c>
      <c r="AF906" s="1">
        <f t="shared" si="335"/>
        <v>0</v>
      </c>
      <c r="AG906" s="1">
        <f t="shared" si="336"/>
        <v>0</v>
      </c>
      <c r="AH906" s="1">
        <f t="shared" si="337"/>
        <v>0</v>
      </c>
      <c r="AI906" s="1">
        <f t="shared" si="338"/>
        <v>0</v>
      </c>
      <c r="AJ906" s="3">
        <f t="shared" si="339"/>
        <v>1</v>
      </c>
      <c r="AK906" s="3">
        <f t="shared" si="340"/>
        <v>0.92171717171717171</v>
      </c>
      <c r="AL906" s="3">
        <f t="shared" si="341"/>
        <v>32.26010101010101</v>
      </c>
      <c r="AM906" s="3">
        <f t="shared" si="342"/>
        <v>80.650252525252526</v>
      </c>
      <c r="AN906" s="3">
        <f t="shared" si="343"/>
        <v>40.325126262626263</v>
      </c>
      <c r="AO906" s="3">
        <f t="shared" si="344"/>
        <v>120.97537878787878</v>
      </c>
      <c r="AP906" s="1" t="str">
        <f>INDEX({"EAD";"EAD";"EAD";"EAD MOOC";"EAD";"EAD";"EAD FP";"EAD";"PRESENCIAL";"PRESENCIAL";"PRESENCIAL";"PRESENCIAL"}, MATCH(CONCATENATE(E906, ".", F906),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07" spans="1:42" x14ac:dyDescent="0.25">
      <c r="A907" s="1" t="s">
        <v>27</v>
      </c>
      <c r="B907" s="1" t="s">
        <v>50</v>
      </c>
      <c r="C907" s="1" t="s">
        <v>29</v>
      </c>
      <c r="D907" s="1" t="s">
        <v>51</v>
      </c>
      <c r="E907" s="1" t="s">
        <v>170</v>
      </c>
      <c r="F907" s="1" t="s">
        <v>21</v>
      </c>
      <c r="G907" s="1" t="s">
        <v>128</v>
      </c>
      <c r="H907" s="1" t="s">
        <v>174</v>
      </c>
      <c r="I907" s="1" t="s">
        <v>172</v>
      </c>
      <c r="J907" s="1" t="s">
        <v>125</v>
      </c>
      <c r="K907" s="1" t="s">
        <v>163</v>
      </c>
      <c r="L907" s="1">
        <v>2966363</v>
      </c>
      <c r="M907" s="1" t="s">
        <v>301</v>
      </c>
      <c r="N907" s="5">
        <f>DATE(2023,4,3)</f>
        <v>45019</v>
      </c>
      <c r="O907" s="5">
        <f>DATE(2024,10,31)</f>
        <v>45596</v>
      </c>
      <c r="P907" s="5">
        <f t="shared" si="325"/>
        <v>46691</v>
      </c>
      <c r="Q907" s="1">
        <v>1200</v>
      </c>
      <c r="R907" s="1">
        <v>1200</v>
      </c>
      <c r="S907" s="1">
        <f t="shared" si="326"/>
        <v>1200</v>
      </c>
      <c r="T907" s="1">
        <v>1</v>
      </c>
      <c r="U907" s="1" t="str">
        <f t="shared" si="327"/>
        <v>SIM</v>
      </c>
      <c r="V907" s="1">
        <f t="shared" si="328"/>
        <v>578</v>
      </c>
      <c r="W907" s="4">
        <f t="shared" si="329"/>
        <v>2.0761245674740483</v>
      </c>
      <c r="X907" s="4">
        <f t="shared" si="330"/>
        <v>757.78546712802768</v>
      </c>
      <c r="Y907" s="4">
        <f t="shared" si="331"/>
        <v>0.94723183391003463</v>
      </c>
      <c r="AB907" s="5">
        <f t="shared" si="332"/>
        <v>45292</v>
      </c>
      <c r="AC907" s="5">
        <f t="shared" si="333"/>
        <v>45657</v>
      </c>
      <c r="AD907" s="1">
        <v>31</v>
      </c>
      <c r="AE907" s="1">
        <f t="shared" si="334"/>
        <v>0</v>
      </c>
      <c r="AF907" s="1">
        <f t="shared" si="335"/>
        <v>0</v>
      </c>
      <c r="AG907" s="1">
        <f t="shared" si="336"/>
        <v>305</v>
      </c>
      <c r="AH907" s="1">
        <f t="shared" si="337"/>
        <v>0</v>
      </c>
      <c r="AI907" s="1">
        <f t="shared" si="338"/>
        <v>0</v>
      </c>
      <c r="AJ907" s="3">
        <f t="shared" si="339"/>
        <v>0.83333333333333337</v>
      </c>
      <c r="AK907" s="3">
        <f t="shared" si="340"/>
        <v>0.78935986159169558</v>
      </c>
      <c r="AL907" s="3">
        <f t="shared" si="341"/>
        <v>24.470155709342563</v>
      </c>
      <c r="AM907" s="3">
        <f t="shared" si="342"/>
        <v>24.470155709342563</v>
      </c>
      <c r="AN907" s="3">
        <f t="shared" si="343"/>
        <v>0</v>
      </c>
      <c r="AO907" s="3">
        <f t="shared" si="344"/>
        <v>24.470155709342563</v>
      </c>
      <c r="AP907" s="1" t="str">
        <f>INDEX({"EAD";"EAD";"EAD";"EAD MOOC";"EAD";"EAD";"EAD FP";"EAD";"PRESENCIAL";"PRESENCIAL";"PRESENCIAL";"PRESENCIAL"}, MATCH(CONCATENATE(E907, ".", F907),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908" spans="1:42" x14ac:dyDescent="0.25">
      <c r="A908" s="1" t="s">
        <v>27</v>
      </c>
      <c r="B908" s="1" t="s">
        <v>50</v>
      </c>
      <c r="C908" s="1" t="s">
        <v>29</v>
      </c>
      <c r="D908" s="1" t="s">
        <v>51</v>
      </c>
      <c r="E908" s="1" t="s">
        <v>170</v>
      </c>
      <c r="F908" s="1" t="s">
        <v>21</v>
      </c>
      <c r="G908" s="1" t="s">
        <v>128</v>
      </c>
      <c r="H908" s="1" t="s">
        <v>176</v>
      </c>
      <c r="I908" s="1" t="s">
        <v>172</v>
      </c>
      <c r="J908" s="1" t="s">
        <v>125</v>
      </c>
      <c r="K908" s="1" t="s">
        <v>163</v>
      </c>
      <c r="L908" s="1">
        <v>2966367</v>
      </c>
      <c r="M908" s="1" t="s">
        <v>302</v>
      </c>
      <c r="N908" s="5">
        <f>DATE(2023,4,3)</f>
        <v>45019</v>
      </c>
      <c r="O908" s="5">
        <f>DATE(2024,10,31)</f>
        <v>45596</v>
      </c>
      <c r="P908" s="5">
        <f t="shared" si="325"/>
        <v>46691</v>
      </c>
      <c r="Q908" s="1">
        <v>1200</v>
      </c>
      <c r="R908" s="1">
        <v>800</v>
      </c>
      <c r="S908" s="1">
        <f t="shared" si="326"/>
        <v>800</v>
      </c>
      <c r="T908" s="1">
        <v>1.5</v>
      </c>
      <c r="U908" s="1" t="str">
        <f t="shared" si="327"/>
        <v>SIM</v>
      </c>
      <c r="V908" s="1">
        <f t="shared" si="328"/>
        <v>578</v>
      </c>
      <c r="W908" s="4">
        <f t="shared" si="329"/>
        <v>1.3840830449826989</v>
      </c>
      <c r="X908" s="4">
        <f t="shared" si="330"/>
        <v>505.1903114186851</v>
      </c>
      <c r="Y908" s="4">
        <f t="shared" si="331"/>
        <v>0.63148788927335642</v>
      </c>
      <c r="AB908" s="5">
        <f t="shared" si="332"/>
        <v>45292</v>
      </c>
      <c r="AC908" s="5">
        <f t="shared" si="333"/>
        <v>45657</v>
      </c>
      <c r="AD908" s="1">
        <v>14</v>
      </c>
      <c r="AE908" s="1">
        <f t="shared" si="334"/>
        <v>0</v>
      </c>
      <c r="AF908" s="1">
        <f t="shared" si="335"/>
        <v>0</v>
      </c>
      <c r="AG908" s="1">
        <f t="shared" si="336"/>
        <v>305</v>
      </c>
      <c r="AH908" s="1">
        <f t="shared" si="337"/>
        <v>0</v>
      </c>
      <c r="AI908" s="1">
        <f t="shared" si="338"/>
        <v>0</v>
      </c>
      <c r="AJ908" s="3">
        <f t="shared" si="339"/>
        <v>0.83333333333333337</v>
      </c>
      <c r="AK908" s="3">
        <f t="shared" si="340"/>
        <v>0.52623990772779705</v>
      </c>
      <c r="AL908" s="3">
        <f t="shared" si="341"/>
        <v>7.3673587081891583</v>
      </c>
      <c r="AM908" s="3">
        <f t="shared" si="342"/>
        <v>11.051038062283737</v>
      </c>
      <c r="AN908" s="3">
        <f t="shared" si="343"/>
        <v>0</v>
      </c>
      <c r="AO908" s="3">
        <f t="shared" si="344"/>
        <v>11.051038062283737</v>
      </c>
      <c r="AP908" s="1" t="str">
        <f>INDEX({"EAD";"EAD";"EAD";"EAD MOOC";"EAD";"EAD";"EAD FP";"EAD";"PRESENCIAL";"PRESENCIAL";"PRESENCIAL";"PRESENCIAL"}, MATCH(CONCATENATE(E908, ".", F908),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909" spans="1:42" x14ac:dyDescent="0.25">
      <c r="A909" s="1" t="s">
        <v>27</v>
      </c>
      <c r="B909" s="1" t="s">
        <v>50</v>
      </c>
      <c r="C909" s="1" t="s">
        <v>29</v>
      </c>
      <c r="D909" s="1" t="s">
        <v>51</v>
      </c>
      <c r="E909" s="1" t="s">
        <v>170</v>
      </c>
      <c r="F909" s="1" t="s">
        <v>21</v>
      </c>
      <c r="G909" s="1" t="s">
        <v>128</v>
      </c>
      <c r="H909" s="1" t="s">
        <v>171</v>
      </c>
      <c r="I909" s="1" t="s">
        <v>172</v>
      </c>
      <c r="J909" s="1" t="s">
        <v>125</v>
      </c>
      <c r="K909" s="1" t="s">
        <v>163</v>
      </c>
      <c r="L909" s="1">
        <v>2966371</v>
      </c>
      <c r="M909" s="1" t="s">
        <v>300</v>
      </c>
      <c r="N909" s="5">
        <f>DATE(2023,4,3)</f>
        <v>45019</v>
      </c>
      <c r="O909" s="5">
        <f>DATE(2024,10,31)</f>
        <v>45596</v>
      </c>
      <c r="P909" s="5">
        <f t="shared" si="325"/>
        <v>46691</v>
      </c>
      <c r="Q909" s="1">
        <v>1200</v>
      </c>
      <c r="R909" s="1">
        <v>1200</v>
      </c>
      <c r="S909" s="1">
        <f t="shared" si="326"/>
        <v>1200</v>
      </c>
      <c r="T909" s="1">
        <v>2</v>
      </c>
      <c r="U909" s="1" t="str">
        <f t="shared" si="327"/>
        <v>SIM</v>
      </c>
      <c r="V909" s="1">
        <f t="shared" si="328"/>
        <v>578</v>
      </c>
      <c r="W909" s="4">
        <f t="shared" si="329"/>
        <v>2.0761245674740483</v>
      </c>
      <c r="X909" s="4">
        <f t="shared" si="330"/>
        <v>757.78546712802768</v>
      </c>
      <c r="Y909" s="4">
        <f t="shared" si="331"/>
        <v>0.94723183391003463</v>
      </c>
      <c r="AB909" s="5">
        <f t="shared" si="332"/>
        <v>45292</v>
      </c>
      <c r="AC909" s="5">
        <f t="shared" si="333"/>
        <v>45657</v>
      </c>
      <c r="AD909" s="1">
        <v>16</v>
      </c>
      <c r="AE909" s="1">
        <f t="shared" si="334"/>
        <v>0</v>
      </c>
      <c r="AF909" s="1">
        <f t="shared" si="335"/>
        <v>0</v>
      </c>
      <c r="AG909" s="1">
        <f t="shared" si="336"/>
        <v>305</v>
      </c>
      <c r="AH909" s="1">
        <f t="shared" si="337"/>
        <v>0</v>
      </c>
      <c r="AI909" s="1">
        <f t="shared" si="338"/>
        <v>0</v>
      </c>
      <c r="AJ909" s="3">
        <f t="shared" si="339"/>
        <v>0.83333333333333337</v>
      </c>
      <c r="AK909" s="3">
        <f t="shared" si="340"/>
        <v>0.78935986159169558</v>
      </c>
      <c r="AL909" s="3">
        <f t="shared" si="341"/>
        <v>12.629757785467129</v>
      </c>
      <c r="AM909" s="3">
        <f t="shared" si="342"/>
        <v>25.259515570934258</v>
      </c>
      <c r="AN909" s="3">
        <f t="shared" si="343"/>
        <v>0</v>
      </c>
      <c r="AO909" s="3">
        <f t="shared" si="344"/>
        <v>25.259515570934258</v>
      </c>
      <c r="AP909" s="1" t="str">
        <f>INDEX({"EAD";"EAD";"EAD";"EAD MOOC";"EAD";"EAD";"EAD FP";"EAD";"PRESENCIAL";"PRESENCIAL";"PRESENCIAL";"PRESENCIAL"}, MATCH(CONCATENATE(E909, ".", F909),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910" spans="1:42" x14ac:dyDescent="0.25">
      <c r="A910" s="1" t="s">
        <v>27</v>
      </c>
      <c r="B910" s="1" t="s">
        <v>50</v>
      </c>
      <c r="C910" s="1" t="s">
        <v>29</v>
      </c>
      <c r="D910" s="1" t="s">
        <v>51</v>
      </c>
      <c r="E910" s="1" t="s">
        <v>120</v>
      </c>
      <c r="F910" s="1" t="s">
        <v>21</v>
      </c>
      <c r="G910" s="1" t="s">
        <v>128</v>
      </c>
      <c r="H910" s="1" t="s">
        <v>907</v>
      </c>
      <c r="I910" s="1" t="s">
        <v>224</v>
      </c>
      <c r="J910" s="1" t="s">
        <v>125</v>
      </c>
      <c r="K910" s="1" t="s">
        <v>130</v>
      </c>
      <c r="L910" s="1">
        <v>3072666</v>
      </c>
      <c r="M910" s="1" t="s">
        <v>1078</v>
      </c>
      <c r="N910" s="5">
        <f t="shared" ref="N910:N916" si="345">DATE(2024,2,5)</f>
        <v>45327</v>
      </c>
      <c r="O910" s="5">
        <f>DATE(2026,12,22)</f>
        <v>46378</v>
      </c>
      <c r="P910" s="5">
        <f t="shared" si="325"/>
        <v>47473</v>
      </c>
      <c r="Q910" s="1">
        <v>3980</v>
      </c>
      <c r="R910" s="1">
        <v>1200</v>
      </c>
      <c r="S910" s="1">
        <f t="shared" si="326"/>
        <v>3200</v>
      </c>
      <c r="T910" s="1">
        <v>1.5</v>
      </c>
      <c r="U910" s="1" t="str">
        <f t="shared" si="327"/>
        <v>SIM</v>
      </c>
      <c r="V910" s="1">
        <f t="shared" si="328"/>
        <v>1052</v>
      </c>
      <c r="W910" s="4">
        <f t="shared" si="329"/>
        <v>3.041825095057034</v>
      </c>
      <c r="X910" s="4">
        <f t="shared" si="330"/>
        <v>1110.2661596958174</v>
      </c>
      <c r="Y910" s="4">
        <f t="shared" si="331"/>
        <v>1.3878326996197716</v>
      </c>
      <c r="AB910" s="5">
        <f t="shared" si="332"/>
        <v>45292</v>
      </c>
      <c r="AC910" s="5">
        <f t="shared" si="333"/>
        <v>45657</v>
      </c>
      <c r="AD910" s="1">
        <v>45</v>
      </c>
      <c r="AE910" s="1">
        <f t="shared" si="334"/>
        <v>0</v>
      </c>
      <c r="AF910" s="1">
        <f t="shared" si="335"/>
        <v>331</v>
      </c>
      <c r="AG910" s="1">
        <f t="shared" si="336"/>
        <v>0</v>
      </c>
      <c r="AH910" s="1">
        <f t="shared" si="337"/>
        <v>0</v>
      </c>
      <c r="AI910" s="1">
        <f t="shared" si="338"/>
        <v>0</v>
      </c>
      <c r="AJ910" s="3">
        <f t="shared" si="339"/>
        <v>0.90437158469945356</v>
      </c>
      <c r="AK910" s="3">
        <f t="shared" si="340"/>
        <v>1.2551164578528535</v>
      </c>
      <c r="AL910" s="3">
        <f t="shared" si="341"/>
        <v>56.480240603378405</v>
      </c>
      <c r="AM910" s="3">
        <f t="shared" si="342"/>
        <v>84.720360905067608</v>
      </c>
      <c r="AN910" s="3">
        <f t="shared" si="343"/>
        <v>0</v>
      </c>
      <c r="AO910" s="3">
        <f t="shared" si="344"/>
        <v>84.720360905067608</v>
      </c>
      <c r="AP910" s="1" t="str">
        <f>INDEX({"EAD";"EAD";"EAD";"EAD MOOC";"EAD";"EAD";"EAD FP";"EAD";"PRESENCIAL";"PRESENCIAL";"PRESENCIAL";"PRESENCIAL"}, MATCH(CONCATENATE(E910, ".", F910),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11" spans="1:42" x14ac:dyDescent="0.25">
      <c r="A911" s="1" t="s">
        <v>27</v>
      </c>
      <c r="B911" s="1" t="s">
        <v>50</v>
      </c>
      <c r="C911" s="1" t="s">
        <v>29</v>
      </c>
      <c r="D911" s="1" t="s">
        <v>51</v>
      </c>
      <c r="E911" s="1" t="s">
        <v>120</v>
      </c>
      <c r="F911" s="1" t="s">
        <v>21</v>
      </c>
      <c r="G911" s="1" t="s">
        <v>128</v>
      </c>
      <c r="H911" s="1" t="s">
        <v>132</v>
      </c>
      <c r="I911" s="1" t="s">
        <v>107</v>
      </c>
      <c r="J911" s="1" t="s">
        <v>108</v>
      </c>
      <c r="K911" s="1" t="s">
        <v>130</v>
      </c>
      <c r="L911" s="1">
        <v>3072671</v>
      </c>
      <c r="M911" s="1" t="s">
        <v>183</v>
      </c>
      <c r="N911" s="5">
        <f t="shared" si="345"/>
        <v>45327</v>
      </c>
      <c r="O911" s="5">
        <f>DATE(2026,12,22)</f>
        <v>46378</v>
      </c>
      <c r="P911" s="5">
        <f t="shared" si="325"/>
        <v>47473</v>
      </c>
      <c r="Q911" s="1">
        <v>4048</v>
      </c>
      <c r="R911" s="1">
        <v>1200</v>
      </c>
      <c r="S911" s="1">
        <f t="shared" si="326"/>
        <v>3200</v>
      </c>
      <c r="T911" s="1">
        <v>2.5</v>
      </c>
      <c r="U911" s="1" t="str">
        <f t="shared" si="327"/>
        <v>SIM</v>
      </c>
      <c r="V911" s="1">
        <f t="shared" si="328"/>
        <v>1052</v>
      </c>
      <c r="W911" s="4">
        <f t="shared" si="329"/>
        <v>3.041825095057034</v>
      </c>
      <c r="X911" s="4">
        <f t="shared" si="330"/>
        <v>1110.2661596958174</v>
      </c>
      <c r="Y911" s="4">
        <f t="shared" si="331"/>
        <v>1.3878326996197716</v>
      </c>
      <c r="AB911" s="5">
        <f t="shared" si="332"/>
        <v>45292</v>
      </c>
      <c r="AC911" s="5">
        <f t="shared" si="333"/>
        <v>45657</v>
      </c>
      <c r="AD911" s="1">
        <v>103</v>
      </c>
      <c r="AE911" s="1">
        <f t="shared" si="334"/>
        <v>0</v>
      </c>
      <c r="AF911" s="1">
        <f t="shared" si="335"/>
        <v>331</v>
      </c>
      <c r="AG911" s="1">
        <f t="shared" si="336"/>
        <v>0</v>
      </c>
      <c r="AH911" s="1">
        <f t="shared" si="337"/>
        <v>0</v>
      </c>
      <c r="AI911" s="1">
        <f t="shared" si="338"/>
        <v>0</v>
      </c>
      <c r="AJ911" s="3">
        <f t="shared" si="339"/>
        <v>0.90437158469945356</v>
      </c>
      <c r="AK911" s="3">
        <f t="shared" si="340"/>
        <v>1.2551164578528535</v>
      </c>
      <c r="AL911" s="3">
        <f t="shared" si="341"/>
        <v>129.2769951588439</v>
      </c>
      <c r="AM911" s="3">
        <f t="shared" si="342"/>
        <v>323.19248789710974</v>
      </c>
      <c r="AN911" s="3">
        <f t="shared" si="343"/>
        <v>161.59624394855487</v>
      </c>
      <c r="AO911" s="3">
        <f t="shared" si="344"/>
        <v>484.78873184566464</v>
      </c>
      <c r="AP911" s="1" t="str">
        <f>INDEX({"EAD";"EAD";"EAD";"EAD MOOC";"EAD";"EAD";"EAD FP";"EAD";"PRESENCIAL";"PRESENCIAL";"PRESENCIAL";"PRESENCIAL"}, MATCH(CONCATENATE(E911, ".", F911),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12" spans="1:42" x14ac:dyDescent="0.25">
      <c r="A912" s="1" t="s">
        <v>27</v>
      </c>
      <c r="B912" s="1" t="s">
        <v>50</v>
      </c>
      <c r="C912" s="1" t="s">
        <v>29</v>
      </c>
      <c r="D912" s="1" t="s">
        <v>51</v>
      </c>
      <c r="E912" s="1" t="s">
        <v>120</v>
      </c>
      <c r="F912" s="1" t="s">
        <v>21</v>
      </c>
      <c r="G912" s="1" t="s">
        <v>128</v>
      </c>
      <c r="H912" s="1" t="s">
        <v>129</v>
      </c>
      <c r="I912" s="1" t="s">
        <v>124</v>
      </c>
      <c r="J912" s="1" t="s">
        <v>125</v>
      </c>
      <c r="K912" s="1" t="s">
        <v>130</v>
      </c>
      <c r="L912" s="1">
        <v>3084097</v>
      </c>
      <c r="M912" s="1" t="s">
        <v>182</v>
      </c>
      <c r="N912" s="5">
        <f t="shared" si="345"/>
        <v>45327</v>
      </c>
      <c r="O912" s="5">
        <f>DATE(2026,12,22)</f>
        <v>46378</v>
      </c>
      <c r="P912" s="5">
        <f t="shared" si="325"/>
        <v>47473</v>
      </c>
      <c r="Q912" s="1">
        <v>3254</v>
      </c>
      <c r="R912" s="1">
        <v>800</v>
      </c>
      <c r="S912" s="1">
        <f t="shared" si="326"/>
        <v>3000</v>
      </c>
      <c r="T912" s="1">
        <v>1.5</v>
      </c>
      <c r="U912" s="1" t="str">
        <f t="shared" si="327"/>
        <v>SIM</v>
      </c>
      <c r="V912" s="1">
        <f t="shared" si="328"/>
        <v>1052</v>
      </c>
      <c r="W912" s="4">
        <f t="shared" si="329"/>
        <v>2.8517110266159698</v>
      </c>
      <c r="X912" s="4">
        <f t="shared" si="330"/>
        <v>1040.874524714829</v>
      </c>
      <c r="Y912" s="4">
        <f t="shared" si="331"/>
        <v>1.3010931558935364</v>
      </c>
      <c r="AB912" s="5">
        <f t="shared" si="332"/>
        <v>45292</v>
      </c>
      <c r="AC912" s="5">
        <f t="shared" si="333"/>
        <v>45657</v>
      </c>
      <c r="AD912" s="1">
        <v>30</v>
      </c>
      <c r="AE912" s="1">
        <f t="shared" si="334"/>
        <v>0</v>
      </c>
      <c r="AF912" s="1">
        <f t="shared" si="335"/>
        <v>331</v>
      </c>
      <c r="AG912" s="1">
        <f t="shared" si="336"/>
        <v>0</v>
      </c>
      <c r="AH912" s="1">
        <f t="shared" si="337"/>
        <v>0</v>
      </c>
      <c r="AI912" s="1">
        <f t="shared" si="338"/>
        <v>0</v>
      </c>
      <c r="AJ912" s="3">
        <f t="shared" si="339"/>
        <v>0.90437158469945356</v>
      </c>
      <c r="AK912" s="3">
        <f t="shared" si="340"/>
        <v>1.1766716792370506</v>
      </c>
      <c r="AL912" s="3">
        <f t="shared" si="341"/>
        <v>35.300150377111521</v>
      </c>
      <c r="AM912" s="3">
        <f t="shared" si="342"/>
        <v>52.950225565667282</v>
      </c>
      <c r="AN912" s="3">
        <f t="shared" si="343"/>
        <v>0</v>
      </c>
      <c r="AO912" s="3">
        <f t="shared" si="344"/>
        <v>52.950225565667282</v>
      </c>
      <c r="AP912" s="1" t="str">
        <f>INDEX({"EAD";"EAD";"EAD";"EAD MOOC";"EAD";"EAD";"EAD FP";"EAD";"PRESENCIAL";"PRESENCIAL";"PRESENCIAL";"PRESENCIAL"}, MATCH(CONCATENATE(E912, ".", F912),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13" spans="1:42" x14ac:dyDescent="0.25">
      <c r="A913" s="1" t="s">
        <v>27</v>
      </c>
      <c r="B913" s="1" t="s">
        <v>50</v>
      </c>
      <c r="C913" s="1" t="s">
        <v>29</v>
      </c>
      <c r="D913" s="1" t="s">
        <v>51</v>
      </c>
      <c r="E913" s="1" t="s">
        <v>120</v>
      </c>
      <c r="F913" s="1" t="s">
        <v>21</v>
      </c>
      <c r="G913" s="1" t="s">
        <v>121</v>
      </c>
      <c r="H913" s="1" t="s">
        <v>322</v>
      </c>
      <c r="I913" s="1" t="s">
        <v>107</v>
      </c>
      <c r="J913" s="1" t="s">
        <v>108</v>
      </c>
      <c r="K913" s="1" t="s">
        <v>109</v>
      </c>
      <c r="L913" s="1">
        <v>3084106</v>
      </c>
      <c r="M913" s="1" t="s">
        <v>1079</v>
      </c>
      <c r="N913" s="5">
        <f t="shared" si="345"/>
        <v>45327</v>
      </c>
      <c r="O913" s="5">
        <f>DATE(2028,12,22)</f>
        <v>47109</v>
      </c>
      <c r="P913" s="5">
        <f t="shared" si="325"/>
        <v>48204</v>
      </c>
      <c r="Q913" s="1">
        <v>3780</v>
      </c>
      <c r="R913" s="1">
        <v>3600</v>
      </c>
      <c r="S913" s="1">
        <f t="shared" si="326"/>
        <v>3600</v>
      </c>
      <c r="T913" s="1">
        <v>2.5</v>
      </c>
      <c r="U913" s="1" t="str">
        <f t="shared" si="327"/>
        <v>SIM</v>
      </c>
      <c r="V913" s="1">
        <f t="shared" si="328"/>
        <v>1783</v>
      </c>
      <c r="W913" s="4">
        <f t="shared" si="329"/>
        <v>2.0190689848569825</v>
      </c>
      <c r="X913" s="4">
        <f t="shared" si="330"/>
        <v>736.96017947279859</v>
      </c>
      <c r="Y913" s="4">
        <f t="shared" si="331"/>
        <v>0.92120022434099824</v>
      </c>
      <c r="AB913" s="5">
        <f t="shared" si="332"/>
        <v>45292</v>
      </c>
      <c r="AC913" s="5">
        <f t="shared" si="333"/>
        <v>45657</v>
      </c>
      <c r="AD913" s="1">
        <v>43</v>
      </c>
      <c r="AE913" s="1">
        <f t="shared" si="334"/>
        <v>0</v>
      </c>
      <c r="AF913" s="1">
        <f t="shared" si="335"/>
        <v>331</v>
      </c>
      <c r="AG913" s="1">
        <f t="shared" si="336"/>
        <v>0</v>
      </c>
      <c r="AH913" s="1">
        <f t="shared" si="337"/>
        <v>0</v>
      </c>
      <c r="AI913" s="1">
        <f t="shared" si="338"/>
        <v>0</v>
      </c>
      <c r="AJ913" s="3">
        <f t="shared" si="339"/>
        <v>0.90437158469945356</v>
      </c>
      <c r="AK913" s="3">
        <f t="shared" si="340"/>
        <v>0.83310730671276068</v>
      </c>
      <c r="AL913" s="3">
        <f t="shared" si="341"/>
        <v>35.823614188648712</v>
      </c>
      <c r="AM913" s="3">
        <f t="shared" si="342"/>
        <v>89.559035471621783</v>
      </c>
      <c r="AN913" s="3">
        <f t="shared" si="343"/>
        <v>44.779517735810892</v>
      </c>
      <c r="AO913" s="3">
        <f t="shared" si="344"/>
        <v>134.33855320743268</v>
      </c>
      <c r="AP913" s="1" t="str">
        <f>INDEX({"EAD";"EAD";"EAD";"EAD MOOC";"EAD";"EAD";"EAD FP";"EAD";"PRESENCIAL";"PRESENCIAL";"PRESENCIAL";"PRESENCIAL"}, MATCH(CONCATENATE(E913, ".", F913),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14" spans="1:42" x14ac:dyDescent="0.25">
      <c r="A914" s="1" t="s">
        <v>27</v>
      </c>
      <c r="B914" s="1" t="s">
        <v>50</v>
      </c>
      <c r="C914" s="1" t="s">
        <v>29</v>
      </c>
      <c r="D914" s="1" t="s">
        <v>51</v>
      </c>
      <c r="E914" s="1" t="s">
        <v>120</v>
      </c>
      <c r="F914" s="1" t="s">
        <v>21</v>
      </c>
      <c r="G914" s="1" t="s">
        <v>121</v>
      </c>
      <c r="H914" s="1" t="s">
        <v>123</v>
      </c>
      <c r="I914" s="1" t="s">
        <v>124</v>
      </c>
      <c r="J914" s="1" t="s">
        <v>125</v>
      </c>
      <c r="K914" s="1" t="s">
        <v>109</v>
      </c>
      <c r="L914" s="1">
        <v>3084109</v>
      </c>
      <c r="M914" s="1" t="s">
        <v>1080</v>
      </c>
      <c r="N914" s="5">
        <f t="shared" si="345"/>
        <v>45327</v>
      </c>
      <c r="O914" s="5">
        <f>DATE(2027,12,23)</f>
        <v>46744</v>
      </c>
      <c r="P914" s="5">
        <f t="shared" si="325"/>
        <v>47839</v>
      </c>
      <c r="Q914" s="1">
        <v>3208</v>
      </c>
      <c r="R914" s="1">
        <v>3000</v>
      </c>
      <c r="S914" s="1">
        <f t="shared" si="326"/>
        <v>3000</v>
      </c>
      <c r="T914" s="1">
        <v>1</v>
      </c>
      <c r="U914" s="1" t="str">
        <f t="shared" si="327"/>
        <v>SIM</v>
      </c>
      <c r="V914" s="1">
        <f t="shared" si="328"/>
        <v>1418</v>
      </c>
      <c r="W914" s="4">
        <f t="shared" si="329"/>
        <v>2.1156558533145273</v>
      </c>
      <c r="X914" s="4">
        <f t="shared" si="330"/>
        <v>772.21438645980243</v>
      </c>
      <c r="Y914" s="4">
        <f t="shared" si="331"/>
        <v>0.96526798307475303</v>
      </c>
      <c r="AB914" s="5">
        <f t="shared" si="332"/>
        <v>45292</v>
      </c>
      <c r="AC914" s="5">
        <f t="shared" si="333"/>
        <v>45657</v>
      </c>
      <c r="AD914" s="1">
        <v>36</v>
      </c>
      <c r="AE914" s="1">
        <f t="shared" si="334"/>
        <v>0</v>
      </c>
      <c r="AF914" s="1">
        <f t="shared" si="335"/>
        <v>331</v>
      </c>
      <c r="AG914" s="1">
        <f t="shared" si="336"/>
        <v>0</v>
      </c>
      <c r="AH914" s="1">
        <f t="shared" si="337"/>
        <v>0</v>
      </c>
      <c r="AI914" s="1">
        <f t="shared" si="338"/>
        <v>0</v>
      </c>
      <c r="AJ914" s="3">
        <f t="shared" si="339"/>
        <v>0.90437158469945356</v>
      </c>
      <c r="AK914" s="3">
        <f t="shared" si="340"/>
        <v>0.87296093551295972</v>
      </c>
      <c r="AL914" s="3">
        <f t="shared" si="341"/>
        <v>31.426593678466549</v>
      </c>
      <c r="AM914" s="3">
        <f t="shared" si="342"/>
        <v>31.426593678466549</v>
      </c>
      <c r="AN914" s="3">
        <f t="shared" si="343"/>
        <v>0</v>
      </c>
      <c r="AO914" s="3">
        <f t="shared" si="344"/>
        <v>31.426593678466549</v>
      </c>
      <c r="AP914" s="1" t="str">
        <f>INDEX({"EAD";"EAD";"EAD";"EAD MOOC";"EAD";"EAD";"EAD FP";"EAD";"PRESENCIAL";"PRESENCIAL";"PRESENCIAL";"PRESENCIAL"}, MATCH(CONCATENATE(E914, ".", F914),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15" spans="1:42" x14ac:dyDescent="0.25">
      <c r="A915" s="1" t="s">
        <v>27</v>
      </c>
      <c r="B915" s="1" t="s">
        <v>50</v>
      </c>
      <c r="C915" s="1" t="s">
        <v>29</v>
      </c>
      <c r="D915" s="1" t="s">
        <v>51</v>
      </c>
      <c r="E915" s="1" t="s">
        <v>120</v>
      </c>
      <c r="F915" s="1" t="s">
        <v>21</v>
      </c>
      <c r="G915" s="1" t="s">
        <v>278</v>
      </c>
      <c r="H915" s="1" t="s">
        <v>320</v>
      </c>
      <c r="I915" s="1" t="s">
        <v>172</v>
      </c>
      <c r="J915" s="1" t="s">
        <v>125</v>
      </c>
      <c r="K915" s="1" t="s">
        <v>109</v>
      </c>
      <c r="L915" s="1">
        <v>3084122</v>
      </c>
      <c r="M915" s="1" t="s">
        <v>1081</v>
      </c>
      <c r="N915" s="5">
        <f t="shared" si="345"/>
        <v>45327</v>
      </c>
      <c r="O915" s="5">
        <f>DATE(2027,12,23)</f>
        <v>46744</v>
      </c>
      <c r="P915" s="5">
        <f t="shared" si="325"/>
        <v>47839</v>
      </c>
      <c r="Q915" s="1">
        <v>3054</v>
      </c>
      <c r="R915" s="1">
        <v>3200</v>
      </c>
      <c r="S915" s="1">
        <f t="shared" si="326"/>
        <v>3200</v>
      </c>
      <c r="T915" s="1">
        <v>2.5</v>
      </c>
      <c r="U915" s="1" t="str">
        <f t="shared" si="327"/>
        <v>SIM</v>
      </c>
      <c r="V915" s="1">
        <f t="shared" si="328"/>
        <v>1418</v>
      </c>
      <c r="W915" s="4">
        <f t="shared" si="329"/>
        <v>2.153737658674189</v>
      </c>
      <c r="X915" s="4">
        <f t="shared" si="330"/>
        <v>786.11424541607903</v>
      </c>
      <c r="Y915" s="4">
        <f t="shared" si="331"/>
        <v>0.98264280677009874</v>
      </c>
      <c r="AB915" s="5">
        <f t="shared" si="332"/>
        <v>45292</v>
      </c>
      <c r="AC915" s="5">
        <f t="shared" si="333"/>
        <v>45657</v>
      </c>
      <c r="AD915" s="1">
        <v>15</v>
      </c>
      <c r="AE915" s="1">
        <f t="shared" si="334"/>
        <v>0</v>
      </c>
      <c r="AF915" s="1">
        <f t="shared" si="335"/>
        <v>331</v>
      </c>
      <c r="AG915" s="1">
        <f t="shared" si="336"/>
        <v>0</v>
      </c>
      <c r="AH915" s="1">
        <f t="shared" si="337"/>
        <v>0</v>
      </c>
      <c r="AI915" s="1">
        <f t="shared" si="338"/>
        <v>0</v>
      </c>
      <c r="AJ915" s="3">
        <f t="shared" si="339"/>
        <v>0.90437158469945356</v>
      </c>
      <c r="AK915" s="3">
        <f t="shared" si="340"/>
        <v>0.88867423235219312</v>
      </c>
      <c r="AL915" s="3">
        <f t="shared" si="341"/>
        <v>13.330113485282897</v>
      </c>
      <c r="AM915" s="3">
        <f t="shared" si="342"/>
        <v>33.325283713207241</v>
      </c>
      <c r="AN915" s="3">
        <f t="shared" si="343"/>
        <v>0</v>
      </c>
      <c r="AO915" s="3">
        <f t="shared" si="344"/>
        <v>33.325283713207241</v>
      </c>
      <c r="AP915" s="1" t="str">
        <f>INDEX({"EAD";"EAD";"EAD";"EAD MOOC";"EAD";"EAD";"EAD FP";"EAD";"PRESENCIAL";"PRESENCIAL";"PRESENCIAL";"PRESENCIAL"}, MATCH(CONCATENATE(E915, ".", F915),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16" spans="1:42" x14ac:dyDescent="0.25">
      <c r="A916" s="1" t="s">
        <v>27</v>
      </c>
      <c r="B916" s="1" t="s">
        <v>50</v>
      </c>
      <c r="C916" s="1" t="s">
        <v>29</v>
      </c>
      <c r="D916" s="1" t="s">
        <v>51</v>
      </c>
      <c r="E916" s="1" t="s">
        <v>120</v>
      </c>
      <c r="F916" s="1" t="s">
        <v>21</v>
      </c>
      <c r="G916" s="1" t="s">
        <v>278</v>
      </c>
      <c r="H916" s="1" t="s">
        <v>405</v>
      </c>
      <c r="I916" s="1" t="s">
        <v>172</v>
      </c>
      <c r="J916" s="1" t="s">
        <v>125</v>
      </c>
      <c r="K916" s="1" t="s">
        <v>109</v>
      </c>
      <c r="L916" s="1">
        <v>3084139</v>
      </c>
      <c r="M916" s="1" t="s">
        <v>1082</v>
      </c>
      <c r="N916" s="5">
        <f t="shared" si="345"/>
        <v>45327</v>
      </c>
      <c r="O916" s="5">
        <f>DATE(2027,12,23)</f>
        <v>46744</v>
      </c>
      <c r="P916" s="5">
        <f t="shared" si="325"/>
        <v>47839</v>
      </c>
      <c r="Q916" s="1">
        <v>2997</v>
      </c>
      <c r="R916" s="1">
        <v>3200</v>
      </c>
      <c r="S916" s="1">
        <f t="shared" si="326"/>
        <v>3200</v>
      </c>
      <c r="T916" s="1">
        <v>2.5</v>
      </c>
      <c r="U916" s="1" t="str">
        <f t="shared" si="327"/>
        <v>SIM</v>
      </c>
      <c r="V916" s="1">
        <f t="shared" si="328"/>
        <v>1418</v>
      </c>
      <c r="W916" s="4">
        <f t="shared" si="329"/>
        <v>2.1135401974612131</v>
      </c>
      <c r="X916" s="4">
        <f t="shared" si="330"/>
        <v>771.44217207334282</v>
      </c>
      <c r="Y916" s="4">
        <f t="shared" si="331"/>
        <v>0.96430271509167853</v>
      </c>
      <c r="AB916" s="5">
        <f t="shared" si="332"/>
        <v>45292</v>
      </c>
      <c r="AC916" s="5">
        <f t="shared" si="333"/>
        <v>45657</v>
      </c>
      <c r="AD916" s="1">
        <v>29</v>
      </c>
      <c r="AE916" s="1">
        <f t="shared" si="334"/>
        <v>0</v>
      </c>
      <c r="AF916" s="1">
        <f t="shared" si="335"/>
        <v>331</v>
      </c>
      <c r="AG916" s="1">
        <f t="shared" si="336"/>
        <v>0</v>
      </c>
      <c r="AH916" s="1">
        <f t="shared" si="337"/>
        <v>0</v>
      </c>
      <c r="AI916" s="1">
        <f t="shared" si="338"/>
        <v>0</v>
      </c>
      <c r="AJ916" s="3">
        <f t="shared" si="339"/>
        <v>0.90437158469945356</v>
      </c>
      <c r="AK916" s="3">
        <f t="shared" si="340"/>
        <v>0.87208797457744702</v>
      </c>
      <c r="AL916" s="3">
        <f t="shared" si="341"/>
        <v>25.290551262745964</v>
      </c>
      <c r="AM916" s="3">
        <f t="shared" si="342"/>
        <v>63.226378156864911</v>
      </c>
      <c r="AN916" s="3">
        <f t="shared" si="343"/>
        <v>0</v>
      </c>
      <c r="AO916" s="3">
        <f t="shared" si="344"/>
        <v>63.226378156864911</v>
      </c>
      <c r="AP916" s="1" t="str">
        <f>INDEX({"EAD";"EAD";"EAD";"EAD MOOC";"EAD";"EAD";"EAD FP";"EAD";"PRESENCIAL";"PRESENCIAL";"PRESENCIAL";"PRESENCIAL"}, MATCH(CONCATENATE(E916, ".", F916),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17" spans="1:42" x14ac:dyDescent="0.25">
      <c r="A917" s="1" t="s">
        <v>27</v>
      </c>
      <c r="B917" s="1" t="s">
        <v>50</v>
      </c>
      <c r="C917" s="1" t="s">
        <v>29</v>
      </c>
      <c r="D917" s="1" t="s">
        <v>51</v>
      </c>
      <c r="E917" s="1" t="s">
        <v>120</v>
      </c>
      <c r="F917" s="1" t="s">
        <v>21</v>
      </c>
      <c r="G917" s="1" t="s">
        <v>161</v>
      </c>
      <c r="H917" s="1" t="s">
        <v>986</v>
      </c>
      <c r="I917" s="1" t="s">
        <v>124</v>
      </c>
      <c r="J917" s="1" t="s">
        <v>125</v>
      </c>
      <c r="K917" s="1" t="s">
        <v>259</v>
      </c>
      <c r="L917" s="1">
        <v>3132299</v>
      </c>
      <c r="M917" s="1" t="s">
        <v>1083</v>
      </c>
      <c r="N917" s="5">
        <f>DATE(2024,5,24)</f>
        <v>45436</v>
      </c>
      <c r="O917" s="5">
        <f>DATE(2024,7,1)</f>
        <v>45474</v>
      </c>
      <c r="P917" s="5">
        <f t="shared" si="325"/>
        <v>45474</v>
      </c>
      <c r="Q917" s="1">
        <v>40</v>
      </c>
      <c r="R917" s="1">
        <v>160</v>
      </c>
      <c r="S917" s="1">
        <f t="shared" si="326"/>
        <v>40</v>
      </c>
      <c r="T917" s="1">
        <v>1</v>
      </c>
      <c r="U917" s="1" t="str">
        <f t="shared" si="327"/>
        <v>SIM</v>
      </c>
      <c r="V917" s="1">
        <f t="shared" si="328"/>
        <v>39</v>
      </c>
      <c r="W917" s="4">
        <f t="shared" si="329"/>
        <v>1.0256410256410255</v>
      </c>
      <c r="X917" s="4">
        <f t="shared" si="330"/>
        <v>40</v>
      </c>
      <c r="Y917" s="4">
        <f t="shared" si="331"/>
        <v>0.05</v>
      </c>
      <c r="AB917" s="5">
        <f t="shared" si="332"/>
        <v>45292</v>
      </c>
      <c r="AC917" s="5">
        <f t="shared" si="333"/>
        <v>45657</v>
      </c>
      <c r="AD917" s="1">
        <v>34</v>
      </c>
      <c r="AE917" s="1">
        <f t="shared" si="334"/>
        <v>0</v>
      </c>
      <c r="AF917" s="1">
        <f t="shared" si="335"/>
        <v>0</v>
      </c>
      <c r="AG917" s="1">
        <f t="shared" si="336"/>
        <v>0</v>
      </c>
      <c r="AH917" s="1">
        <f t="shared" si="337"/>
        <v>39</v>
      </c>
      <c r="AI917" s="1">
        <f t="shared" si="338"/>
        <v>0</v>
      </c>
      <c r="AJ917" s="3">
        <f t="shared" si="339"/>
        <v>1</v>
      </c>
      <c r="AK917" s="3">
        <f t="shared" si="340"/>
        <v>0.05</v>
      </c>
      <c r="AL917" s="3">
        <f t="shared" si="341"/>
        <v>1.7000000000000002</v>
      </c>
      <c r="AM917" s="3">
        <f t="shared" si="342"/>
        <v>1.7000000000000002</v>
      </c>
      <c r="AN917" s="3">
        <f t="shared" si="343"/>
        <v>0</v>
      </c>
      <c r="AO917" s="3">
        <f t="shared" si="344"/>
        <v>1.7000000000000002</v>
      </c>
      <c r="AP917" s="1" t="str">
        <f>INDEX({"EAD";"EAD";"EAD";"EAD MOOC";"EAD";"EAD";"EAD FP";"EAD";"PRESENCIAL";"PRESENCIAL";"PRESENCIAL";"PRESENCIAL"}, MATCH(CONCATENATE(E917, ".", F917),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18" spans="1:42" x14ac:dyDescent="0.25">
      <c r="A918" s="1" t="s">
        <v>27</v>
      </c>
      <c r="B918" s="1" t="s">
        <v>50</v>
      </c>
      <c r="C918" s="1" t="s">
        <v>29</v>
      </c>
      <c r="D918" s="1" t="s">
        <v>51</v>
      </c>
      <c r="E918" s="1" t="s">
        <v>120</v>
      </c>
      <c r="F918" s="1" t="s">
        <v>21</v>
      </c>
      <c r="G918" s="1" t="s">
        <v>161</v>
      </c>
      <c r="H918" s="1" t="s">
        <v>1084</v>
      </c>
      <c r="I918" s="1" t="s">
        <v>228</v>
      </c>
      <c r="J918" s="1" t="s">
        <v>125</v>
      </c>
      <c r="K918" s="1" t="s">
        <v>259</v>
      </c>
      <c r="L918" s="1">
        <v>3163518</v>
      </c>
      <c r="M918" s="1" t="s">
        <v>1085</v>
      </c>
      <c r="N918" s="5">
        <f>DATE(2024,9,2)</f>
        <v>45537</v>
      </c>
      <c r="O918" s="5">
        <f>DATE(2024,11,2)</f>
        <v>45598</v>
      </c>
      <c r="P918" s="5">
        <f t="shared" si="325"/>
        <v>45598</v>
      </c>
      <c r="Q918" s="1">
        <v>40</v>
      </c>
      <c r="R918" s="1">
        <v>270</v>
      </c>
      <c r="S918" s="1">
        <f t="shared" si="326"/>
        <v>40</v>
      </c>
      <c r="T918" s="1">
        <v>1</v>
      </c>
      <c r="U918" s="1" t="str">
        <f t="shared" si="327"/>
        <v>SIM</v>
      </c>
      <c r="V918" s="1">
        <f t="shared" si="328"/>
        <v>62</v>
      </c>
      <c r="W918" s="4">
        <f t="shared" si="329"/>
        <v>0.64516129032258063</v>
      </c>
      <c r="X918" s="4">
        <f t="shared" si="330"/>
        <v>40</v>
      </c>
      <c r="Y918" s="4">
        <f t="shared" si="331"/>
        <v>0.05</v>
      </c>
      <c r="AB918" s="5">
        <f t="shared" si="332"/>
        <v>45292</v>
      </c>
      <c r="AC918" s="5">
        <f t="shared" si="333"/>
        <v>45657</v>
      </c>
      <c r="AD918" s="1">
        <v>28</v>
      </c>
      <c r="AE918" s="1">
        <f t="shared" si="334"/>
        <v>0</v>
      </c>
      <c r="AF918" s="1">
        <f t="shared" si="335"/>
        <v>0</v>
      </c>
      <c r="AG918" s="1">
        <f t="shared" si="336"/>
        <v>0</v>
      </c>
      <c r="AH918" s="1">
        <f t="shared" si="337"/>
        <v>62</v>
      </c>
      <c r="AI918" s="1">
        <f t="shared" si="338"/>
        <v>0</v>
      </c>
      <c r="AJ918" s="3">
        <f t="shared" si="339"/>
        <v>1</v>
      </c>
      <c r="AK918" s="3">
        <f t="shared" si="340"/>
        <v>0.05</v>
      </c>
      <c r="AL918" s="3">
        <f t="shared" si="341"/>
        <v>1.4000000000000001</v>
      </c>
      <c r="AM918" s="3">
        <f t="shared" si="342"/>
        <v>1.4000000000000001</v>
      </c>
      <c r="AN918" s="3">
        <f t="shared" si="343"/>
        <v>0</v>
      </c>
      <c r="AO918" s="3">
        <f t="shared" si="344"/>
        <v>1.4000000000000001</v>
      </c>
      <c r="AP918" s="1" t="str">
        <f>INDEX({"EAD";"EAD";"EAD";"EAD MOOC";"EAD";"EAD";"EAD FP";"EAD";"PRESENCIAL";"PRESENCIAL";"PRESENCIAL";"PRESENCIAL"}, MATCH(CONCATENATE(E918, ".", F918),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19" spans="1:42" x14ac:dyDescent="0.25">
      <c r="A919" s="1" t="s">
        <v>27</v>
      </c>
      <c r="B919" s="1" t="s">
        <v>50</v>
      </c>
      <c r="C919" s="1" t="s">
        <v>29</v>
      </c>
      <c r="D919" s="1" t="s">
        <v>51</v>
      </c>
      <c r="E919" s="1" t="s">
        <v>120</v>
      </c>
      <c r="F919" s="1" t="s">
        <v>21</v>
      </c>
      <c r="G919" s="1" t="s">
        <v>161</v>
      </c>
      <c r="H919" s="1" t="s">
        <v>986</v>
      </c>
      <c r="I919" s="1" t="s">
        <v>124</v>
      </c>
      <c r="J919" s="1" t="s">
        <v>125</v>
      </c>
      <c r="K919" s="1" t="s">
        <v>259</v>
      </c>
      <c r="L919" s="1">
        <v>3170641</v>
      </c>
      <c r="M919" s="1" t="s">
        <v>1086</v>
      </c>
      <c r="N919" s="5">
        <f>DATE(2024,10,4)</f>
        <v>45569</v>
      </c>
      <c r="O919" s="5">
        <f>DATE(2024,11,9)</f>
        <v>45605</v>
      </c>
      <c r="P919" s="5">
        <f t="shared" si="325"/>
        <v>45605</v>
      </c>
      <c r="Q919" s="1">
        <v>40</v>
      </c>
      <c r="R919" s="1">
        <v>160</v>
      </c>
      <c r="S919" s="1">
        <f t="shared" si="326"/>
        <v>40</v>
      </c>
      <c r="T919" s="1">
        <v>1</v>
      </c>
      <c r="U919" s="1" t="str">
        <f t="shared" si="327"/>
        <v>SIM</v>
      </c>
      <c r="V919" s="1">
        <f t="shared" si="328"/>
        <v>37</v>
      </c>
      <c r="W919" s="4">
        <f t="shared" si="329"/>
        <v>1.0810810810810811</v>
      </c>
      <c r="X919" s="4">
        <f t="shared" si="330"/>
        <v>40</v>
      </c>
      <c r="Y919" s="4">
        <f t="shared" si="331"/>
        <v>0.05</v>
      </c>
      <c r="AB919" s="5">
        <f t="shared" si="332"/>
        <v>45292</v>
      </c>
      <c r="AC919" s="5">
        <f t="shared" si="333"/>
        <v>45657</v>
      </c>
      <c r="AD919" s="1">
        <v>32</v>
      </c>
      <c r="AE919" s="1">
        <f t="shared" si="334"/>
        <v>0</v>
      </c>
      <c r="AF919" s="1">
        <f t="shared" si="335"/>
        <v>0</v>
      </c>
      <c r="AG919" s="1">
        <f t="shared" si="336"/>
        <v>0</v>
      </c>
      <c r="AH919" s="1">
        <f t="shared" si="337"/>
        <v>37</v>
      </c>
      <c r="AI919" s="1">
        <f t="shared" si="338"/>
        <v>0</v>
      </c>
      <c r="AJ919" s="3">
        <f t="shared" si="339"/>
        <v>1</v>
      </c>
      <c r="AK919" s="3">
        <f t="shared" si="340"/>
        <v>0.05</v>
      </c>
      <c r="AL919" s="3">
        <f t="shared" si="341"/>
        <v>1.6</v>
      </c>
      <c r="AM919" s="3">
        <f t="shared" si="342"/>
        <v>1.6</v>
      </c>
      <c r="AN919" s="3">
        <f t="shared" si="343"/>
        <v>0</v>
      </c>
      <c r="AO919" s="3">
        <f t="shared" si="344"/>
        <v>1.6</v>
      </c>
      <c r="AP919" s="1" t="str">
        <f>INDEX({"EAD";"EAD";"EAD";"EAD MOOC";"EAD";"EAD";"EAD FP";"EAD";"PRESENCIAL";"PRESENCIAL";"PRESENCIAL";"PRESENCIAL"}, MATCH(CONCATENATE(E919, ".", F919),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20" spans="1:42" x14ac:dyDescent="0.25">
      <c r="A920" s="1" t="s">
        <v>27</v>
      </c>
      <c r="B920" s="1" t="s">
        <v>50</v>
      </c>
      <c r="C920" s="1" t="s">
        <v>29</v>
      </c>
      <c r="D920" s="1" t="s">
        <v>51</v>
      </c>
      <c r="E920" s="1" t="s">
        <v>120</v>
      </c>
      <c r="F920" s="1" t="s">
        <v>21</v>
      </c>
      <c r="G920" s="1" t="s">
        <v>161</v>
      </c>
      <c r="H920" s="1" t="s">
        <v>986</v>
      </c>
      <c r="I920" s="1" t="s">
        <v>124</v>
      </c>
      <c r="J920" s="1" t="s">
        <v>125</v>
      </c>
      <c r="K920" s="1" t="s">
        <v>259</v>
      </c>
      <c r="L920" s="1">
        <v>3182650</v>
      </c>
      <c r="M920" s="1" t="s">
        <v>1087</v>
      </c>
      <c r="N920" s="5">
        <f>DATE(2024,11,22)</f>
        <v>45618</v>
      </c>
      <c r="O920" s="5">
        <f>DATE(2025,2,15)</f>
        <v>45703</v>
      </c>
      <c r="P920" s="5">
        <f t="shared" si="325"/>
        <v>45703</v>
      </c>
      <c r="Q920" s="1">
        <v>40</v>
      </c>
      <c r="R920" s="1">
        <v>160</v>
      </c>
      <c r="S920" s="1">
        <f t="shared" si="326"/>
        <v>40</v>
      </c>
      <c r="T920" s="1">
        <v>1</v>
      </c>
      <c r="U920" s="1" t="str">
        <f t="shared" si="327"/>
        <v>SIM</v>
      </c>
      <c r="V920" s="1">
        <f t="shared" si="328"/>
        <v>86</v>
      </c>
      <c r="W920" s="4">
        <f t="shared" si="329"/>
        <v>0.46511627906976744</v>
      </c>
      <c r="X920" s="4">
        <f t="shared" si="330"/>
        <v>40</v>
      </c>
      <c r="Y920" s="4">
        <f t="shared" si="331"/>
        <v>0.05</v>
      </c>
      <c r="AB920" s="5">
        <f t="shared" si="332"/>
        <v>45292</v>
      </c>
      <c r="AC920" s="5">
        <f t="shared" si="333"/>
        <v>45657</v>
      </c>
      <c r="AD920" s="1">
        <v>67</v>
      </c>
      <c r="AE920" s="1">
        <f t="shared" si="334"/>
        <v>0</v>
      </c>
      <c r="AF920" s="1">
        <f t="shared" si="335"/>
        <v>40</v>
      </c>
      <c r="AG920" s="1">
        <f t="shared" si="336"/>
        <v>0</v>
      </c>
      <c r="AH920" s="1">
        <f t="shared" si="337"/>
        <v>0</v>
      </c>
      <c r="AI920" s="1">
        <f t="shared" si="338"/>
        <v>0</v>
      </c>
      <c r="AJ920" s="3">
        <f t="shared" si="339"/>
        <v>0.46511627906976744</v>
      </c>
      <c r="AK920" s="3">
        <f t="shared" si="340"/>
        <v>2.3255813953488372E-2</v>
      </c>
      <c r="AL920" s="3">
        <f t="shared" si="341"/>
        <v>1.5581395348837208</v>
      </c>
      <c r="AM920" s="3">
        <f t="shared" si="342"/>
        <v>1.5581395348837208</v>
      </c>
      <c r="AN920" s="3">
        <f t="shared" si="343"/>
        <v>0</v>
      </c>
      <c r="AO920" s="3">
        <f t="shared" si="344"/>
        <v>1.5581395348837208</v>
      </c>
      <c r="AP920" s="1" t="str">
        <f>INDEX({"EAD";"EAD";"EAD";"EAD MOOC";"EAD";"EAD";"EAD FP";"EAD";"PRESENCIAL";"PRESENCIAL";"PRESENCIAL";"PRESENCIAL"}, MATCH(CONCATENATE(E920, ".", F920),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21" spans="1:42" x14ac:dyDescent="0.25">
      <c r="A921" s="1" t="s">
        <v>27</v>
      </c>
      <c r="B921" s="1" t="s">
        <v>52</v>
      </c>
      <c r="C921" s="1" t="s">
        <v>29</v>
      </c>
      <c r="D921" s="1" t="s">
        <v>53</v>
      </c>
      <c r="E921" s="1" t="s">
        <v>120</v>
      </c>
      <c r="F921" s="1" t="s">
        <v>21</v>
      </c>
      <c r="G921" s="1" t="s">
        <v>278</v>
      </c>
      <c r="H921" s="1" t="s">
        <v>407</v>
      </c>
      <c r="I921" s="1" t="s">
        <v>172</v>
      </c>
      <c r="J921" s="1" t="s">
        <v>125</v>
      </c>
      <c r="K921" s="1" t="s">
        <v>109</v>
      </c>
      <c r="L921" s="1">
        <v>2158205</v>
      </c>
      <c r="M921" s="1" t="s">
        <v>1088</v>
      </c>
      <c r="N921" s="5">
        <f>DATE(2017,2,13)</f>
        <v>42779</v>
      </c>
      <c r="O921" s="5">
        <f>DATE(2020,12,18)</f>
        <v>44183</v>
      </c>
      <c r="P921" s="5">
        <f t="shared" si="325"/>
        <v>45278</v>
      </c>
      <c r="Q921" s="1">
        <v>2980</v>
      </c>
      <c r="R921" s="1">
        <v>3200</v>
      </c>
      <c r="S921" s="1">
        <f t="shared" si="326"/>
        <v>3200</v>
      </c>
      <c r="T921" s="1">
        <v>2.5</v>
      </c>
      <c r="U921" s="1" t="str">
        <f t="shared" si="327"/>
        <v>NÃO</v>
      </c>
      <c r="V921" s="1">
        <f t="shared" si="328"/>
        <v>1405</v>
      </c>
      <c r="W921" s="4">
        <f t="shared" si="329"/>
        <v>2.1209964412811386</v>
      </c>
      <c r="X921" s="4">
        <f t="shared" si="330"/>
        <v>774.16370106761565</v>
      </c>
      <c r="Y921" s="4">
        <f t="shared" si="331"/>
        <v>0.96770462633451959</v>
      </c>
      <c r="AB921" s="5">
        <f t="shared" si="332"/>
        <v>45292</v>
      </c>
      <c r="AC921" s="5">
        <f t="shared" si="333"/>
        <v>45657</v>
      </c>
      <c r="AD921" s="1">
        <v>1</v>
      </c>
      <c r="AE921" s="1">
        <f t="shared" si="334"/>
        <v>0</v>
      </c>
      <c r="AF921" s="1">
        <f t="shared" si="335"/>
        <v>0</v>
      </c>
      <c r="AG921" s="1">
        <f t="shared" si="336"/>
        <v>0</v>
      </c>
      <c r="AH921" s="1">
        <f t="shared" si="337"/>
        <v>0</v>
      </c>
      <c r="AI921" s="1">
        <f t="shared" si="338"/>
        <v>183</v>
      </c>
      <c r="AJ921" s="3">
        <f t="shared" si="339"/>
        <v>0.5</v>
      </c>
      <c r="AK921" s="3">
        <f t="shared" si="340"/>
        <v>0.4838523131672598</v>
      </c>
      <c r="AL921" s="3">
        <f t="shared" si="341"/>
        <v>0</v>
      </c>
      <c r="AM921" s="3">
        <f t="shared" si="342"/>
        <v>0</v>
      </c>
      <c r="AN921" s="3">
        <f t="shared" si="343"/>
        <v>0</v>
      </c>
      <c r="AO921" s="3">
        <f t="shared" si="344"/>
        <v>0</v>
      </c>
      <c r="AP921" s="1" t="str">
        <f>INDEX({"EAD";"EAD";"EAD";"EAD MOOC";"EAD";"EAD";"EAD FP";"EAD";"PRESENCIAL";"PRESENCIAL";"PRESENCIAL";"PRESENCIAL"}, MATCH(CONCATENATE(E921, ".", F921),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22" spans="1:42" x14ac:dyDescent="0.25">
      <c r="A922" s="1" t="s">
        <v>27</v>
      </c>
      <c r="B922" s="1" t="s">
        <v>52</v>
      </c>
      <c r="C922" s="1" t="s">
        <v>29</v>
      </c>
      <c r="D922" s="1" t="s">
        <v>53</v>
      </c>
      <c r="E922" s="1" t="s">
        <v>120</v>
      </c>
      <c r="F922" s="1" t="s">
        <v>21</v>
      </c>
      <c r="G922" s="1" t="s">
        <v>140</v>
      </c>
      <c r="H922" s="1" t="s">
        <v>1089</v>
      </c>
      <c r="I922" s="1" t="s">
        <v>503</v>
      </c>
      <c r="J922" s="1" t="s">
        <v>125</v>
      </c>
      <c r="K922" s="1" t="s">
        <v>109</v>
      </c>
      <c r="L922" s="1">
        <v>2488482</v>
      </c>
      <c r="M922" s="1" t="s">
        <v>1090</v>
      </c>
      <c r="N922" s="5">
        <f>DATE(2018,2,5)</f>
        <v>43136</v>
      </c>
      <c r="O922" s="5">
        <f>DATE(2021,7,9)</f>
        <v>44386</v>
      </c>
      <c r="P922" s="5">
        <f t="shared" si="325"/>
        <v>45481</v>
      </c>
      <c r="Q922" s="1">
        <v>2480</v>
      </c>
      <c r="R922" s="1">
        <v>2400</v>
      </c>
      <c r="S922" s="1">
        <f t="shared" si="326"/>
        <v>2400</v>
      </c>
      <c r="T922" s="1">
        <v>2.5</v>
      </c>
      <c r="U922" s="1" t="str">
        <f t="shared" si="327"/>
        <v>SIM</v>
      </c>
      <c r="V922" s="1">
        <f t="shared" si="328"/>
        <v>1251</v>
      </c>
      <c r="W922" s="4">
        <f t="shared" si="329"/>
        <v>1.9184652278177459</v>
      </c>
      <c r="X922" s="4">
        <f t="shared" si="330"/>
        <v>700.23980815347727</v>
      </c>
      <c r="Y922" s="4">
        <f t="shared" si="331"/>
        <v>0.87529976019184663</v>
      </c>
      <c r="AB922" s="5">
        <f t="shared" si="332"/>
        <v>45292</v>
      </c>
      <c r="AC922" s="5">
        <f t="shared" si="333"/>
        <v>45657</v>
      </c>
      <c r="AD922" s="1">
        <v>1</v>
      </c>
      <c r="AE922" s="1">
        <f t="shared" si="334"/>
        <v>0</v>
      </c>
      <c r="AF922" s="1">
        <f t="shared" si="335"/>
        <v>0</v>
      </c>
      <c r="AG922" s="1">
        <f t="shared" si="336"/>
        <v>0</v>
      </c>
      <c r="AH922" s="1">
        <f t="shared" si="337"/>
        <v>0</v>
      </c>
      <c r="AI922" s="1">
        <f t="shared" si="338"/>
        <v>183</v>
      </c>
      <c r="AJ922" s="3">
        <f t="shared" si="339"/>
        <v>0.5</v>
      </c>
      <c r="AK922" s="3">
        <f t="shared" si="340"/>
        <v>0.43764988009592332</v>
      </c>
      <c r="AL922" s="3">
        <f t="shared" si="341"/>
        <v>0.21882494004796166</v>
      </c>
      <c r="AM922" s="3">
        <f t="shared" si="342"/>
        <v>0.54706235011990412</v>
      </c>
      <c r="AN922" s="3">
        <f t="shared" si="343"/>
        <v>0</v>
      </c>
      <c r="AO922" s="3">
        <f t="shared" si="344"/>
        <v>0.54706235011990412</v>
      </c>
      <c r="AP922" s="1" t="str">
        <f>INDEX({"EAD";"EAD";"EAD";"EAD MOOC";"EAD";"EAD";"EAD FP";"EAD";"PRESENCIAL";"PRESENCIAL";"PRESENCIAL";"PRESENCIAL"}, MATCH(CONCATENATE(E922, ".", F922),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23" spans="1:42" x14ac:dyDescent="0.25">
      <c r="A923" s="1" t="s">
        <v>27</v>
      </c>
      <c r="B923" s="1" t="s">
        <v>52</v>
      </c>
      <c r="C923" s="1" t="s">
        <v>29</v>
      </c>
      <c r="D923" s="1" t="s">
        <v>53</v>
      </c>
      <c r="E923" s="1" t="s">
        <v>120</v>
      </c>
      <c r="F923" s="1" t="s">
        <v>21</v>
      </c>
      <c r="G923" s="1" t="s">
        <v>278</v>
      </c>
      <c r="H923" s="1" t="s">
        <v>407</v>
      </c>
      <c r="I923" s="1" t="s">
        <v>172</v>
      </c>
      <c r="J923" s="1" t="s">
        <v>125</v>
      </c>
      <c r="K923" s="1" t="s">
        <v>109</v>
      </c>
      <c r="L923" s="1">
        <v>2488487</v>
      </c>
      <c r="M923" s="1" t="s">
        <v>1091</v>
      </c>
      <c r="N923" s="5">
        <f>DATE(2018,2,5)</f>
        <v>43136</v>
      </c>
      <c r="O923" s="5">
        <f>DATE(2021,12,17)</f>
        <v>44547</v>
      </c>
      <c r="P923" s="5">
        <f t="shared" si="325"/>
        <v>45642</v>
      </c>
      <c r="Q923" s="1">
        <v>2980</v>
      </c>
      <c r="R923" s="1">
        <v>3200</v>
      </c>
      <c r="S923" s="1">
        <f t="shared" si="326"/>
        <v>3200</v>
      </c>
      <c r="T923" s="1">
        <v>2.5</v>
      </c>
      <c r="U923" s="1" t="str">
        <f t="shared" si="327"/>
        <v>SIM</v>
      </c>
      <c r="V923" s="1">
        <f t="shared" si="328"/>
        <v>1412</v>
      </c>
      <c r="W923" s="4">
        <f t="shared" si="329"/>
        <v>2.1104815864022664</v>
      </c>
      <c r="X923" s="4">
        <f t="shared" si="330"/>
        <v>770.32577903682727</v>
      </c>
      <c r="Y923" s="4">
        <f t="shared" si="331"/>
        <v>0.96290722379603411</v>
      </c>
      <c r="AB923" s="5">
        <f t="shared" si="332"/>
        <v>45292</v>
      </c>
      <c r="AC923" s="5">
        <f t="shared" si="333"/>
        <v>45657</v>
      </c>
      <c r="AD923" s="1">
        <v>1</v>
      </c>
      <c r="AE923" s="1">
        <f t="shared" si="334"/>
        <v>0</v>
      </c>
      <c r="AF923" s="1">
        <f t="shared" si="335"/>
        <v>0</v>
      </c>
      <c r="AG923" s="1">
        <f t="shared" si="336"/>
        <v>0</v>
      </c>
      <c r="AH923" s="1">
        <f t="shared" si="337"/>
        <v>0</v>
      </c>
      <c r="AI923" s="1">
        <f t="shared" si="338"/>
        <v>183</v>
      </c>
      <c r="AJ923" s="3">
        <f t="shared" si="339"/>
        <v>0.5</v>
      </c>
      <c r="AK923" s="3">
        <f t="shared" si="340"/>
        <v>0.48145361189801705</v>
      </c>
      <c r="AL923" s="3">
        <f t="shared" si="341"/>
        <v>0.24072680594900853</v>
      </c>
      <c r="AM923" s="3">
        <f t="shared" si="342"/>
        <v>0.60181701487252126</v>
      </c>
      <c r="AN923" s="3">
        <f t="shared" si="343"/>
        <v>0</v>
      </c>
      <c r="AO923" s="3">
        <f t="shared" si="344"/>
        <v>0.60181701487252126</v>
      </c>
      <c r="AP923" s="1" t="str">
        <f>INDEX({"EAD";"EAD";"EAD";"EAD MOOC";"EAD";"EAD";"EAD FP";"EAD";"PRESENCIAL";"PRESENCIAL";"PRESENCIAL";"PRESENCIAL"}, MATCH(CONCATENATE(E923, ".", F923),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24" spans="1:42" x14ac:dyDescent="0.25">
      <c r="A924" s="1" t="s">
        <v>27</v>
      </c>
      <c r="B924" s="1" t="s">
        <v>52</v>
      </c>
      <c r="C924" s="1" t="s">
        <v>29</v>
      </c>
      <c r="D924" s="1" t="s">
        <v>53</v>
      </c>
      <c r="E924" s="1" t="s">
        <v>120</v>
      </c>
      <c r="F924" s="1" t="s">
        <v>21</v>
      </c>
      <c r="G924" s="1" t="s">
        <v>128</v>
      </c>
      <c r="H924" s="1" t="s">
        <v>223</v>
      </c>
      <c r="I924" s="1" t="s">
        <v>224</v>
      </c>
      <c r="J924" s="1" t="s">
        <v>125</v>
      </c>
      <c r="K924" s="1" t="s">
        <v>130</v>
      </c>
      <c r="L924" s="1">
        <v>2584524</v>
      </c>
      <c r="M924" s="1" t="s">
        <v>1092</v>
      </c>
      <c r="N924" s="5">
        <f>DATE(2019,2,4)</f>
        <v>43500</v>
      </c>
      <c r="O924" s="5">
        <f>DATE(2021,12,17)</f>
        <v>44547</v>
      </c>
      <c r="P924" s="5">
        <f t="shared" si="325"/>
        <v>45642</v>
      </c>
      <c r="Q924" s="1">
        <v>3400</v>
      </c>
      <c r="R924" s="1">
        <v>1200</v>
      </c>
      <c r="S924" s="1">
        <f t="shared" si="326"/>
        <v>3200</v>
      </c>
      <c r="T924" s="1">
        <v>2.5</v>
      </c>
      <c r="U924" s="1" t="str">
        <f t="shared" si="327"/>
        <v>SIM</v>
      </c>
      <c r="V924" s="1">
        <f t="shared" si="328"/>
        <v>1048</v>
      </c>
      <c r="W924" s="4">
        <f t="shared" si="329"/>
        <v>3.053435114503817</v>
      </c>
      <c r="X924" s="4">
        <f t="shared" si="330"/>
        <v>1114.5038167938933</v>
      </c>
      <c r="Y924" s="4">
        <f t="shared" si="331"/>
        <v>1.3931297709923667</v>
      </c>
      <c r="AB924" s="5">
        <f t="shared" si="332"/>
        <v>45292</v>
      </c>
      <c r="AC924" s="5">
        <f t="shared" si="333"/>
        <v>45657</v>
      </c>
      <c r="AD924" s="1">
        <v>1</v>
      </c>
      <c r="AE924" s="1">
        <f t="shared" si="334"/>
        <v>0</v>
      </c>
      <c r="AF924" s="1">
        <f t="shared" si="335"/>
        <v>0</v>
      </c>
      <c r="AG924" s="1">
        <f t="shared" si="336"/>
        <v>0</v>
      </c>
      <c r="AH924" s="1">
        <f t="shared" si="337"/>
        <v>0</v>
      </c>
      <c r="AI924" s="1">
        <f t="shared" si="338"/>
        <v>183</v>
      </c>
      <c r="AJ924" s="3">
        <f t="shared" si="339"/>
        <v>0.5</v>
      </c>
      <c r="AK924" s="3">
        <f t="shared" si="340"/>
        <v>0.69656488549618334</v>
      </c>
      <c r="AL924" s="3">
        <f t="shared" si="341"/>
        <v>0.34828244274809167</v>
      </c>
      <c r="AM924" s="3">
        <f t="shared" si="342"/>
        <v>0.8707061068702292</v>
      </c>
      <c r="AN924" s="3">
        <f t="shared" si="343"/>
        <v>0</v>
      </c>
      <c r="AO924" s="3">
        <f t="shared" si="344"/>
        <v>0.8707061068702292</v>
      </c>
      <c r="AP924" s="1" t="str">
        <f>INDEX({"EAD";"EAD";"EAD";"EAD MOOC";"EAD";"EAD";"EAD FP";"EAD";"PRESENCIAL";"PRESENCIAL";"PRESENCIAL";"PRESENCIAL"}, MATCH(CONCATENATE(E924, ".", F924),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25" spans="1:42" x14ac:dyDescent="0.25">
      <c r="A925" s="1" t="s">
        <v>27</v>
      </c>
      <c r="B925" s="1" t="s">
        <v>52</v>
      </c>
      <c r="C925" s="1" t="s">
        <v>29</v>
      </c>
      <c r="D925" s="1" t="s">
        <v>53</v>
      </c>
      <c r="E925" s="1" t="s">
        <v>120</v>
      </c>
      <c r="F925" s="1" t="s">
        <v>21</v>
      </c>
      <c r="G925" s="1" t="s">
        <v>140</v>
      </c>
      <c r="H925" s="1" t="s">
        <v>550</v>
      </c>
      <c r="I925" s="1" t="s">
        <v>209</v>
      </c>
      <c r="J925" s="1" t="s">
        <v>125</v>
      </c>
      <c r="K925" s="1" t="s">
        <v>109</v>
      </c>
      <c r="L925" s="1">
        <v>2584543</v>
      </c>
      <c r="M925" s="1" t="s">
        <v>1093</v>
      </c>
      <c r="N925" s="5">
        <f>DATE(2019,2,4)</f>
        <v>43500</v>
      </c>
      <c r="O925" s="5">
        <f>DATE(2021,12,17)</f>
        <v>44547</v>
      </c>
      <c r="P925" s="5">
        <f t="shared" si="325"/>
        <v>45642</v>
      </c>
      <c r="Q925" s="1">
        <v>2210</v>
      </c>
      <c r="R925" s="1">
        <v>2000</v>
      </c>
      <c r="S925" s="1">
        <f t="shared" si="326"/>
        <v>2000</v>
      </c>
      <c r="T925" s="1">
        <v>1.5</v>
      </c>
      <c r="U925" s="1" t="str">
        <f t="shared" si="327"/>
        <v>SIM</v>
      </c>
      <c r="V925" s="1">
        <f t="shared" si="328"/>
        <v>1048</v>
      </c>
      <c r="W925" s="4">
        <f t="shared" si="329"/>
        <v>1.9083969465648856</v>
      </c>
      <c r="X925" s="4">
        <f t="shared" si="330"/>
        <v>696.56488549618325</v>
      </c>
      <c r="Y925" s="4">
        <f t="shared" si="331"/>
        <v>0.87070610687022909</v>
      </c>
      <c r="AB925" s="5">
        <f t="shared" si="332"/>
        <v>45292</v>
      </c>
      <c r="AC925" s="5">
        <f t="shared" si="333"/>
        <v>45657</v>
      </c>
      <c r="AD925" s="1">
        <v>3</v>
      </c>
      <c r="AE925" s="1">
        <f t="shared" si="334"/>
        <v>0</v>
      </c>
      <c r="AF925" s="1">
        <f t="shared" si="335"/>
        <v>0</v>
      </c>
      <c r="AG925" s="1">
        <f t="shared" si="336"/>
        <v>0</v>
      </c>
      <c r="AH925" s="1">
        <f t="shared" si="337"/>
        <v>0</v>
      </c>
      <c r="AI925" s="1">
        <f t="shared" si="338"/>
        <v>183</v>
      </c>
      <c r="AJ925" s="3">
        <f t="shared" si="339"/>
        <v>0.5</v>
      </c>
      <c r="AK925" s="3">
        <f t="shared" si="340"/>
        <v>0.43535305343511455</v>
      </c>
      <c r="AL925" s="3">
        <f t="shared" si="341"/>
        <v>0.65302958015267176</v>
      </c>
      <c r="AM925" s="3">
        <f t="shared" si="342"/>
        <v>0.97954437022900764</v>
      </c>
      <c r="AN925" s="3">
        <f t="shared" si="343"/>
        <v>0</v>
      </c>
      <c r="AO925" s="3">
        <f t="shared" si="344"/>
        <v>0.97954437022900764</v>
      </c>
      <c r="AP925" s="1" t="str">
        <f>INDEX({"EAD";"EAD";"EAD";"EAD MOOC";"EAD";"EAD";"EAD FP";"EAD";"PRESENCIAL";"PRESENCIAL";"PRESENCIAL";"PRESENCIAL"}, MATCH(CONCATENATE(E925, ".", F925),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26" spans="1:42" x14ac:dyDescent="0.25">
      <c r="A926" s="1" t="s">
        <v>27</v>
      </c>
      <c r="B926" s="1" t="s">
        <v>52</v>
      </c>
      <c r="C926" s="1" t="s">
        <v>29</v>
      </c>
      <c r="D926" s="1" t="s">
        <v>53</v>
      </c>
      <c r="E926" s="1" t="s">
        <v>120</v>
      </c>
      <c r="F926" s="1" t="s">
        <v>21</v>
      </c>
      <c r="G926" s="1" t="s">
        <v>140</v>
      </c>
      <c r="H926" s="1" t="s">
        <v>1089</v>
      </c>
      <c r="I926" s="1" t="s">
        <v>503</v>
      </c>
      <c r="J926" s="1" t="s">
        <v>125</v>
      </c>
      <c r="K926" s="1" t="s">
        <v>109</v>
      </c>
      <c r="L926" s="1">
        <v>2584548</v>
      </c>
      <c r="M926" s="1" t="s">
        <v>1094</v>
      </c>
      <c r="N926" s="5">
        <f>DATE(2019,2,4)</f>
        <v>43500</v>
      </c>
      <c r="O926" s="5">
        <f>DATE(2022,7,15)</f>
        <v>44757</v>
      </c>
      <c r="P926" s="5">
        <f t="shared" si="325"/>
        <v>45852</v>
      </c>
      <c r="Q926" s="1">
        <v>2480</v>
      </c>
      <c r="R926" s="1">
        <v>2400</v>
      </c>
      <c r="S926" s="1">
        <f t="shared" si="326"/>
        <v>2400</v>
      </c>
      <c r="T926" s="1">
        <v>2.5</v>
      </c>
      <c r="U926" s="1" t="str">
        <f t="shared" si="327"/>
        <v>SIM</v>
      </c>
      <c r="V926" s="1">
        <f t="shared" si="328"/>
        <v>1258</v>
      </c>
      <c r="W926" s="4">
        <f t="shared" si="329"/>
        <v>1.9077901430842608</v>
      </c>
      <c r="X926" s="4">
        <f t="shared" si="330"/>
        <v>696.3434022257552</v>
      </c>
      <c r="Y926" s="4">
        <f t="shared" si="331"/>
        <v>0.87042925278219396</v>
      </c>
      <c r="AB926" s="5">
        <f t="shared" si="332"/>
        <v>45292</v>
      </c>
      <c r="AC926" s="5">
        <f t="shared" si="333"/>
        <v>45657</v>
      </c>
      <c r="AD926" s="1">
        <v>2</v>
      </c>
      <c r="AE926" s="1">
        <f t="shared" si="334"/>
        <v>0</v>
      </c>
      <c r="AF926" s="1">
        <f t="shared" si="335"/>
        <v>0</v>
      </c>
      <c r="AG926" s="1">
        <f t="shared" si="336"/>
        <v>0</v>
      </c>
      <c r="AH926" s="1">
        <f t="shared" si="337"/>
        <v>0</v>
      </c>
      <c r="AI926" s="1">
        <f t="shared" si="338"/>
        <v>183</v>
      </c>
      <c r="AJ926" s="3">
        <f t="shared" si="339"/>
        <v>0.5</v>
      </c>
      <c r="AK926" s="3">
        <f t="shared" si="340"/>
        <v>0.43521462639109698</v>
      </c>
      <c r="AL926" s="3">
        <f t="shared" si="341"/>
        <v>0.43521462639109698</v>
      </c>
      <c r="AM926" s="3">
        <f t="shared" si="342"/>
        <v>1.0880365659777425</v>
      </c>
      <c r="AN926" s="3">
        <f t="shared" si="343"/>
        <v>0</v>
      </c>
      <c r="AO926" s="3">
        <f t="shared" si="344"/>
        <v>1.0880365659777425</v>
      </c>
      <c r="AP926" s="1" t="str">
        <f>INDEX({"EAD";"EAD";"EAD";"EAD MOOC";"EAD";"EAD";"EAD FP";"EAD";"PRESENCIAL";"PRESENCIAL";"PRESENCIAL";"PRESENCIAL"}, MATCH(CONCATENATE(E926, ".", F926),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27" spans="1:42" x14ac:dyDescent="0.25">
      <c r="A927" s="1" t="s">
        <v>27</v>
      </c>
      <c r="B927" s="1" t="s">
        <v>52</v>
      </c>
      <c r="C927" s="1" t="s">
        <v>29</v>
      </c>
      <c r="D927" s="1" t="s">
        <v>53</v>
      </c>
      <c r="E927" s="1" t="s">
        <v>120</v>
      </c>
      <c r="F927" s="1" t="s">
        <v>21</v>
      </c>
      <c r="G927" s="1" t="s">
        <v>278</v>
      </c>
      <c r="H927" s="1" t="s">
        <v>407</v>
      </c>
      <c r="I927" s="1" t="s">
        <v>172</v>
      </c>
      <c r="J927" s="1" t="s">
        <v>125</v>
      </c>
      <c r="K927" s="1" t="s">
        <v>109</v>
      </c>
      <c r="L927" s="1">
        <v>2584549</v>
      </c>
      <c r="M927" s="1" t="s">
        <v>1095</v>
      </c>
      <c r="N927" s="5">
        <f>DATE(2019,2,4)</f>
        <v>43500</v>
      </c>
      <c r="O927" s="5">
        <f>DATE(2022,12,23)</f>
        <v>44918</v>
      </c>
      <c r="P927" s="5">
        <f t="shared" si="325"/>
        <v>46013</v>
      </c>
      <c r="Q927" s="1">
        <v>2980</v>
      </c>
      <c r="R927" s="1">
        <v>3200</v>
      </c>
      <c r="S927" s="1">
        <f t="shared" si="326"/>
        <v>3200</v>
      </c>
      <c r="T927" s="1">
        <v>2.5</v>
      </c>
      <c r="U927" s="1" t="str">
        <f t="shared" si="327"/>
        <v>SIM</v>
      </c>
      <c r="V927" s="1">
        <f t="shared" si="328"/>
        <v>1419</v>
      </c>
      <c r="W927" s="4">
        <f t="shared" si="329"/>
        <v>2.1000704721634955</v>
      </c>
      <c r="X927" s="4">
        <f t="shared" si="330"/>
        <v>766.52572233967589</v>
      </c>
      <c r="Y927" s="4">
        <f t="shared" si="331"/>
        <v>0.95815715292459491</v>
      </c>
      <c r="AB927" s="5">
        <f t="shared" si="332"/>
        <v>45292</v>
      </c>
      <c r="AC927" s="5">
        <f t="shared" si="333"/>
        <v>45657</v>
      </c>
      <c r="AD927" s="1">
        <v>11</v>
      </c>
      <c r="AE927" s="1">
        <f t="shared" si="334"/>
        <v>0</v>
      </c>
      <c r="AF927" s="1">
        <f t="shared" si="335"/>
        <v>0</v>
      </c>
      <c r="AG927" s="1">
        <f t="shared" si="336"/>
        <v>0</v>
      </c>
      <c r="AH927" s="1">
        <f t="shared" si="337"/>
        <v>0</v>
      </c>
      <c r="AI927" s="1">
        <f t="shared" si="338"/>
        <v>183</v>
      </c>
      <c r="AJ927" s="3">
        <f t="shared" si="339"/>
        <v>0.5</v>
      </c>
      <c r="AK927" s="3">
        <f t="shared" si="340"/>
        <v>0.47907857646229746</v>
      </c>
      <c r="AL927" s="3">
        <f t="shared" si="341"/>
        <v>2.6349321705426361</v>
      </c>
      <c r="AM927" s="3">
        <f t="shared" si="342"/>
        <v>6.5873304263565906</v>
      </c>
      <c r="AN927" s="3">
        <f t="shared" si="343"/>
        <v>0</v>
      </c>
      <c r="AO927" s="3">
        <f t="shared" si="344"/>
        <v>6.5873304263565906</v>
      </c>
      <c r="AP927" s="1" t="str">
        <f>INDEX({"EAD";"EAD";"EAD";"EAD MOOC";"EAD";"EAD";"EAD FP";"EAD";"PRESENCIAL";"PRESENCIAL";"PRESENCIAL";"PRESENCIAL"}, MATCH(CONCATENATE(E927, ".", F927),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28" spans="1:42" x14ac:dyDescent="0.25">
      <c r="A928" s="1" t="s">
        <v>27</v>
      </c>
      <c r="B928" s="1" t="s">
        <v>52</v>
      </c>
      <c r="C928" s="1" t="s">
        <v>29</v>
      </c>
      <c r="D928" s="1" t="s">
        <v>53</v>
      </c>
      <c r="E928" s="1" t="s">
        <v>120</v>
      </c>
      <c r="F928" s="1" t="s">
        <v>21</v>
      </c>
      <c r="G928" s="1" t="s">
        <v>121</v>
      </c>
      <c r="H928" s="1" t="s">
        <v>123</v>
      </c>
      <c r="I928" s="1" t="s">
        <v>124</v>
      </c>
      <c r="J928" s="1" t="s">
        <v>125</v>
      </c>
      <c r="K928" s="1" t="s">
        <v>109</v>
      </c>
      <c r="L928" s="1">
        <v>2676505</v>
      </c>
      <c r="M928" s="1" t="s">
        <v>1096</v>
      </c>
      <c r="N928" s="5">
        <f t="shared" ref="N928:N934" si="346">DATE(2020,2,3)</f>
        <v>43864</v>
      </c>
      <c r="O928" s="5">
        <f>DATE(2023,12,22)</f>
        <v>45282</v>
      </c>
      <c r="P928" s="5">
        <f t="shared" si="325"/>
        <v>46377</v>
      </c>
      <c r="Q928" s="1">
        <v>3000</v>
      </c>
      <c r="R928" s="1">
        <v>3000</v>
      </c>
      <c r="S928" s="1">
        <f t="shared" si="326"/>
        <v>3000</v>
      </c>
      <c r="T928" s="1">
        <v>1</v>
      </c>
      <c r="U928" s="1" t="str">
        <f t="shared" si="327"/>
        <v>SIM</v>
      </c>
      <c r="V928" s="1">
        <f t="shared" si="328"/>
        <v>1419</v>
      </c>
      <c r="W928" s="4">
        <f t="shared" si="329"/>
        <v>2.1141649048625792</v>
      </c>
      <c r="X928" s="4">
        <f t="shared" si="330"/>
        <v>771.67019027484139</v>
      </c>
      <c r="Y928" s="4">
        <f t="shared" si="331"/>
        <v>0.96458773784355178</v>
      </c>
      <c r="AB928" s="5">
        <f t="shared" si="332"/>
        <v>45292</v>
      </c>
      <c r="AC928" s="5">
        <f t="shared" si="333"/>
        <v>45657</v>
      </c>
      <c r="AD928" s="1">
        <v>26</v>
      </c>
      <c r="AE928" s="1">
        <f t="shared" si="334"/>
        <v>0</v>
      </c>
      <c r="AF928" s="1">
        <f t="shared" si="335"/>
        <v>0</v>
      </c>
      <c r="AG928" s="1">
        <f t="shared" si="336"/>
        <v>0</v>
      </c>
      <c r="AH928" s="1">
        <f t="shared" si="337"/>
        <v>0</v>
      </c>
      <c r="AI928" s="1">
        <f t="shared" si="338"/>
        <v>183</v>
      </c>
      <c r="AJ928" s="3">
        <f t="shared" si="339"/>
        <v>0.5</v>
      </c>
      <c r="AK928" s="3">
        <f t="shared" si="340"/>
        <v>0.48229386892177589</v>
      </c>
      <c r="AL928" s="3">
        <f t="shared" si="341"/>
        <v>6.2698202959830862</v>
      </c>
      <c r="AM928" s="3">
        <f t="shared" si="342"/>
        <v>6.2698202959830862</v>
      </c>
      <c r="AN928" s="3">
        <f t="shared" si="343"/>
        <v>0</v>
      </c>
      <c r="AO928" s="3">
        <f t="shared" si="344"/>
        <v>6.2698202959830862</v>
      </c>
      <c r="AP928" s="1" t="str">
        <f>INDEX({"EAD";"EAD";"EAD";"EAD MOOC";"EAD";"EAD";"EAD FP";"EAD";"PRESENCIAL";"PRESENCIAL";"PRESENCIAL";"PRESENCIAL"}, MATCH(CONCATENATE(E928, ".", F928),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29" spans="1:42" x14ac:dyDescent="0.25">
      <c r="A929" s="1" t="s">
        <v>27</v>
      </c>
      <c r="B929" s="1" t="s">
        <v>52</v>
      </c>
      <c r="C929" s="1" t="s">
        <v>29</v>
      </c>
      <c r="D929" s="1" t="s">
        <v>53</v>
      </c>
      <c r="E929" s="1" t="s">
        <v>120</v>
      </c>
      <c r="F929" s="1" t="s">
        <v>21</v>
      </c>
      <c r="G929" s="1" t="s">
        <v>128</v>
      </c>
      <c r="H929" s="1" t="s">
        <v>208</v>
      </c>
      <c r="I929" s="1" t="s">
        <v>209</v>
      </c>
      <c r="J929" s="1" t="s">
        <v>125</v>
      </c>
      <c r="K929" s="1" t="s">
        <v>130</v>
      </c>
      <c r="L929" s="1">
        <v>2678440</v>
      </c>
      <c r="M929" s="1" t="s">
        <v>1097</v>
      </c>
      <c r="N929" s="5">
        <f t="shared" si="346"/>
        <v>43864</v>
      </c>
      <c r="O929" s="5">
        <f>DATE(2022,12,16)</f>
        <v>44911</v>
      </c>
      <c r="P929" s="5">
        <f t="shared" si="325"/>
        <v>46006</v>
      </c>
      <c r="Q929" s="1">
        <v>3560</v>
      </c>
      <c r="R929" s="1">
        <v>1200</v>
      </c>
      <c r="S929" s="1">
        <f t="shared" si="326"/>
        <v>3200</v>
      </c>
      <c r="T929" s="1">
        <v>1.5</v>
      </c>
      <c r="U929" s="1" t="str">
        <f t="shared" si="327"/>
        <v>SIM</v>
      </c>
      <c r="V929" s="1">
        <f t="shared" si="328"/>
        <v>1048</v>
      </c>
      <c r="W929" s="4">
        <f t="shared" si="329"/>
        <v>3.053435114503817</v>
      </c>
      <c r="X929" s="4">
        <f t="shared" si="330"/>
        <v>1114.5038167938933</v>
      </c>
      <c r="Y929" s="4">
        <f t="shared" si="331"/>
        <v>1.3931297709923667</v>
      </c>
      <c r="AB929" s="5">
        <f t="shared" si="332"/>
        <v>45292</v>
      </c>
      <c r="AC929" s="5">
        <f t="shared" si="333"/>
        <v>45657</v>
      </c>
      <c r="AD929" s="1">
        <v>2</v>
      </c>
      <c r="AE929" s="1">
        <f t="shared" si="334"/>
        <v>0</v>
      </c>
      <c r="AF929" s="1">
        <f t="shared" si="335"/>
        <v>0</v>
      </c>
      <c r="AG929" s="1">
        <f t="shared" si="336"/>
        <v>0</v>
      </c>
      <c r="AH929" s="1">
        <f t="shared" si="337"/>
        <v>0</v>
      </c>
      <c r="AI929" s="1">
        <f t="shared" si="338"/>
        <v>183</v>
      </c>
      <c r="AJ929" s="3">
        <f t="shared" si="339"/>
        <v>0.5</v>
      </c>
      <c r="AK929" s="3">
        <f t="shared" si="340"/>
        <v>0.69656488549618334</v>
      </c>
      <c r="AL929" s="3">
        <f t="shared" si="341"/>
        <v>0.69656488549618334</v>
      </c>
      <c r="AM929" s="3">
        <f t="shared" si="342"/>
        <v>1.044847328244275</v>
      </c>
      <c r="AN929" s="3">
        <f t="shared" si="343"/>
        <v>0</v>
      </c>
      <c r="AO929" s="3">
        <f t="shared" si="344"/>
        <v>1.044847328244275</v>
      </c>
      <c r="AP929" s="1" t="str">
        <f>INDEX({"EAD";"EAD";"EAD";"EAD MOOC";"EAD";"EAD";"EAD FP";"EAD";"PRESENCIAL";"PRESENCIAL";"PRESENCIAL";"PRESENCIAL"}, MATCH(CONCATENATE(E929, ".", F929),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30" spans="1:42" x14ac:dyDescent="0.25">
      <c r="A930" s="1" t="s">
        <v>27</v>
      </c>
      <c r="B930" s="1" t="s">
        <v>52</v>
      </c>
      <c r="C930" s="1" t="s">
        <v>29</v>
      </c>
      <c r="D930" s="1" t="s">
        <v>53</v>
      </c>
      <c r="E930" s="1" t="s">
        <v>120</v>
      </c>
      <c r="F930" s="1" t="s">
        <v>21</v>
      </c>
      <c r="G930" s="1" t="s">
        <v>128</v>
      </c>
      <c r="H930" s="1" t="s">
        <v>223</v>
      </c>
      <c r="I930" s="1" t="s">
        <v>224</v>
      </c>
      <c r="J930" s="1" t="s">
        <v>125</v>
      </c>
      <c r="K930" s="1" t="s">
        <v>130</v>
      </c>
      <c r="L930" s="1">
        <v>2678448</v>
      </c>
      <c r="M930" s="1" t="s">
        <v>1098</v>
      </c>
      <c r="N930" s="5">
        <f t="shared" si="346"/>
        <v>43864</v>
      </c>
      <c r="O930" s="5">
        <f>DATE(2022,12,16)</f>
        <v>44911</v>
      </c>
      <c r="P930" s="5">
        <f t="shared" si="325"/>
        <v>46006</v>
      </c>
      <c r="Q930" s="1">
        <v>3400</v>
      </c>
      <c r="R930" s="1">
        <v>1200</v>
      </c>
      <c r="S930" s="1">
        <f t="shared" si="326"/>
        <v>3200</v>
      </c>
      <c r="T930" s="1">
        <v>2.5</v>
      </c>
      <c r="U930" s="1" t="str">
        <f t="shared" si="327"/>
        <v>SIM</v>
      </c>
      <c r="V930" s="1">
        <f t="shared" si="328"/>
        <v>1048</v>
      </c>
      <c r="W930" s="4">
        <f t="shared" si="329"/>
        <v>3.053435114503817</v>
      </c>
      <c r="X930" s="4">
        <f t="shared" si="330"/>
        <v>1114.5038167938933</v>
      </c>
      <c r="Y930" s="4">
        <f t="shared" si="331"/>
        <v>1.3931297709923667</v>
      </c>
      <c r="AB930" s="5">
        <f t="shared" si="332"/>
        <v>45292</v>
      </c>
      <c r="AC930" s="5">
        <f t="shared" si="333"/>
        <v>45657</v>
      </c>
      <c r="AD930" s="1">
        <v>1</v>
      </c>
      <c r="AE930" s="1">
        <f t="shared" si="334"/>
        <v>0</v>
      </c>
      <c r="AF930" s="1">
        <f t="shared" si="335"/>
        <v>0</v>
      </c>
      <c r="AG930" s="1">
        <f t="shared" si="336"/>
        <v>0</v>
      </c>
      <c r="AH930" s="1">
        <f t="shared" si="337"/>
        <v>0</v>
      </c>
      <c r="AI930" s="1">
        <f t="shared" si="338"/>
        <v>183</v>
      </c>
      <c r="AJ930" s="3">
        <f t="shared" si="339"/>
        <v>0.5</v>
      </c>
      <c r="AK930" s="3">
        <f t="shared" si="340"/>
        <v>0.69656488549618334</v>
      </c>
      <c r="AL930" s="3">
        <f t="shared" si="341"/>
        <v>0.34828244274809167</v>
      </c>
      <c r="AM930" s="3">
        <f t="shared" si="342"/>
        <v>0.8707061068702292</v>
      </c>
      <c r="AN930" s="3">
        <f t="shared" si="343"/>
        <v>0</v>
      </c>
      <c r="AO930" s="3">
        <f t="shared" si="344"/>
        <v>0.8707061068702292</v>
      </c>
      <c r="AP930" s="1" t="str">
        <f>INDEX({"EAD";"EAD";"EAD";"EAD MOOC";"EAD";"EAD";"EAD FP";"EAD";"PRESENCIAL";"PRESENCIAL";"PRESENCIAL";"PRESENCIAL"}, MATCH(CONCATENATE(E930, ".", F930),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31" spans="1:42" x14ac:dyDescent="0.25">
      <c r="A931" s="1" t="s">
        <v>27</v>
      </c>
      <c r="B931" s="1" t="s">
        <v>52</v>
      </c>
      <c r="C931" s="1" t="s">
        <v>29</v>
      </c>
      <c r="D931" s="1" t="s">
        <v>53</v>
      </c>
      <c r="E931" s="1" t="s">
        <v>120</v>
      </c>
      <c r="F931" s="1" t="s">
        <v>21</v>
      </c>
      <c r="G931" s="1" t="s">
        <v>128</v>
      </c>
      <c r="H931" s="1" t="s">
        <v>129</v>
      </c>
      <c r="I931" s="1" t="s">
        <v>124</v>
      </c>
      <c r="J931" s="1" t="s">
        <v>125</v>
      </c>
      <c r="K931" s="1" t="s">
        <v>130</v>
      </c>
      <c r="L931" s="1">
        <v>2678954</v>
      </c>
      <c r="M931" s="1" t="s">
        <v>1099</v>
      </c>
      <c r="N931" s="5">
        <f t="shared" si="346"/>
        <v>43864</v>
      </c>
      <c r="O931" s="5">
        <f>DATE(2022,12,16)</f>
        <v>44911</v>
      </c>
      <c r="P931" s="5">
        <f t="shared" si="325"/>
        <v>46006</v>
      </c>
      <c r="Q931" s="1">
        <v>3424</v>
      </c>
      <c r="R931" s="1">
        <v>800</v>
      </c>
      <c r="S931" s="1">
        <f t="shared" si="326"/>
        <v>3000</v>
      </c>
      <c r="T931" s="1">
        <v>1.5</v>
      </c>
      <c r="U931" s="1" t="str">
        <f t="shared" si="327"/>
        <v>SIM</v>
      </c>
      <c r="V931" s="1">
        <f t="shared" si="328"/>
        <v>1048</v>
      </c>
      <c r="W931" s="4">
        <f t="shared" si="329"/>
        <v>2.8625954198473282</v>
      </c>
      <c r="X931" s="4">
        <f t="shared" si="330"/>
        <v>1044.8473282442749</v>
      </c>
      <c r="Y931" s="4">
        <f t="shared" si="331"/>
        <v>1.3060591603053435</v>
      </c>
      <c r="AB931" s="5">
        <f t="shared" si="332"/>
        <v>45292</v>
      </c>
      <c r="AC931" s="5">
        <f t="shared" si="333"/>
        <v>45657</v>
      </c>
      <c r="AD931" s="1">
        <v>1</v>
      </c>
      <c r="AE931" s="1">
        <f t="shared" si="334"/>
        <v>0</v>
      </c>
      <c r="AF931" s="1">
        <f t="shared" si="335"/>
        <v>0</v>
      </c>
      <c r="AG931" s="1">
        <f t="shared" si="336"/>
        <v>0</v>
      </c>
      <c r="AH931" s="1">
        <f t="shared" si="337"/>
        <v>0</v>
      </c>
      <c r="AI931" s="1">
        <f t="shared" si="338"/>
        <v>183</v>
      </c>
      <c r="AJ931" s="3">
        <f t="shared" si="339"/>
        <v>0.5</v>
      </c>
      <c r="AK931" s="3">
        <f t="shared" si="340"/>
        <v>0.65302958015267176</v>
      </c>
      <c r="AL931" s="3">
        <f t="shared" si="341"/>
        <v>0.32651479007633588</v>
      </c>
      <c r="AM931" s="3">
        <f t="shared" si="342"/>
        <v>0.48977218511450382</v>
      </c>
      <c r="AN931" s="3">
        <f t="shared" si="343"/>
        <v>0</v>
      </c>
      <c r="AO931" s="3">
        <f t="shared" si="344"/>
        <v>0.48977218511450382</v>
      </c>
      <c r="AP931" s="1" t="str">
        <f>INDEX({"EAD";"EAD";"EAD";"EAD MOOC";"EAD";"EAD";"EAD FP";"EAD";"PRESENCIAL";"PRESENCIAL";"PRESENCIAL";"PRESENCIAL"}, MATCH(CONCATENATE(E931, ".", F931),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32" spans="1:42" x14ac:dyDescent="0.25">
      <c r="A932" s="1" t="s">
        <v>27</v>
      </c>
      <c r="B932" s="1" t="s">
        <v>52</v>
      </c>
      <c r="C932" s="1" t="s">
        <v>29</v>
      </c>
      <c r="D932" s="1" t="s">
        <v>53</v>
      </c>
      <c r="E932" s="1" t="s">
        <v>120</v>
      </c>
      <c r="F932" s="1" t="s">
        <v>21</v>
      </c>
      <c r="G932" s="1" t="s">
        <v>140</v>
      </c>
      <c r="H932" s="1" t="s">
        <v>1089</v>
      </c>
      <c r="I932" s="1" t="s">
        <v>503</v>
      </c>
      <c r="J932" s="1" t="s">
        <v>125</v>
      </c>
      <c r="K932" s="1" t="s">
        <v>109</v>
      </c>
      <c r="L932" s="1">
        <v>2678995</v>
      </c>
      <c r="M932" s="1" t="s">
        <v>1100</v>
      </c>
      <c r="N932" s="5">
        <f t="shared" si="346"/>
        <v>43864</v>
      </c>
      <c r="O932" s="5">
        <f>DATE(2023,7,14)</f>
        <v>45121</v>
      </c>
      <c r="P932" s="5">
        <f t="shared" si="325"/>
        <v>46216</v>
      </c>
      <c r="Q932" s="1">
        <v>2480</v>
      </c>
      <c r="R932" s="1">
        <v>2400</v>
      </c>
      <c r="S932" s="1">
        <f t="shared" si="326"/>
        <v>2400</v>
      </c>
      <c r="T932" s="1">
        <v>2.5</v>
      </c>
      <c r="U932" s="1" t="str">
        <f t="shared" si="327"/>
        <v>SIM</v>
      </c>
      <c r="V932" s="1">
        <f t="shared" si="328"/>
        <v>1258</v>
      </c>
      <c r="W932" s="4">
        <f t="shared" si="329"/>
        <v>1.9077901430842608</v>
      </c>
      <c r="X932" s="4">
        <f t="shared" si="330"/>
        <v>696.3434022257552</v>
      </c>
      <c r="Y932" s="4">
        <f t="shared" si="331"/>
        <v>0.87042925278219396</v>
      </c>
      <c r="AB932" s="5">
        <f t="shared" si="332"/>
        <v>45292</v>
      </c>
      <c r="AC932" s="5">
        <f t="shared" si="333"/>
        <v>45657</v>
      </c>
      <c r="AD932" s="1">
        <v>9</v>
      </c>
      <c r="AE932" s="1">
        <f t="shared" si="334"/>
        <v>0</v>
      </c>
      <c r="AF932" s="1">
        <f t="shared" si="335"/>
        <v>0</v>
      </c>
      <c r="AG932" s="1">
        <f t="shared" si="336"/>
        <v>0</v>
      </c>
      <c r="AH932" s="1">
        <f t="shared" si="337"/>
        <v>0</v>
      </c>
      <c r="AI932" s="1">
        <f t="shared" si="338"/>
        <v>183</v>
      </c>
      <c r="AJ932" s="3">
        <f t="shared" si="339"/>
        <v>0.5</v>
      </c>
      <c r="AK932" s="3">
        <f t="shared" si="340"/>
        <v>0.43521462639109698</v>
      </c>
      <c r="AL932" s="3">
        <f t="shared" si="341"/>
        <v>1.9584658187599364</v>
      </c>
      <c r="AM932" s="3">
        <f t="shared" si="342"/>
        <v>4.8961645468998407</v>
      </c>
      <c r="AN932" s="3">
        <f t="shared" si="343"/>
        <v>0</v>
      </c>
      <c r="AO932" s="3">
        <f t="shared" si="344"/>
        <v>4.8961645468998407</v>
      </c>
      <c r="AP932" s="1" t="str">
        <f>INDEX({"EAD";"EAD";"EAD";"EAD MOOC";"EAD";"EAD";"EAD FP";"EAD";"PRESENCIAL";"PRESENCIAL";"PRESENCIAL";"PRESENCIAL"}, MATCH(CONCATENATE(E932, ".", F932),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33" spans="1:42" x14ac:dyDescent="0.25">
      <c r="A933" s="1" t="s">
        <v>27</v>
      </c>
      <c r="B933" s="1" t="s">
        <v>52</v>
      </c>
      <c r="C933" s="1" t="s">
        <v>29</v>
      </c>
      <c r="D933" s="1" t="s">
        <v>53</v>
      </c>
      <c r="E933" s="1" t="s">
        <v>120</v>
      </c>
      <c r="F933" s="1" t="s">
        <v>21</v>
      </c>
      <c r="G933" s="1" t="s">
        <v>278</v>
      </c>
      <c r="H933" s="1" t="s">
        <v>407</v>
      </c>
      <c r="I933" s="1" t="s">
        <v>172</v>
      </c>
      <c r="J933" s="1" t="s">
        <v>125</v>
      </c>
      <c r="K933" s="1" t="s">
        <v>109</v>
      </c>
      <c r="L933" s="1">
        <v>2679025</v>
      </c>
      <c r="M933" s="1" t="s">
        <v>1101</v>
      </c>
      <c r="N933" s="5">
        <f t="shared" si="346"/>
        <v>43864</v>
      </c>
      <c r="O933" s="5">
        <f>DATE(2023,12,22)</f>
        <v>45282</v>
      </c>
      <c r="P933" s="5">
        <f t="shared" si="325"/>
        <v>46377</v>
      </c>
      <c r="Q933" s="1">
        <v>2980</v>
      </c>
      <c r="R933" s="1">
        <v>3200</v>
      </c>
      <c r="S933" s="1">
        <f t="shared" si="326"/>
        <v>3200</v>
      </c>
      <c r="T933" s="1">
        <v>2.5</v>
      </c>
      <c r="U933" s="1" t="str">
        <f t="shared" si="327"/>
        <v>SIM</v>
      </c>
      <c r="V933" s="1">
        <f t="shared" si="328"/>
        <v>1419</v>
      </c>
      <c r="W933" s="4">
        <f t="shared" si="329"/>
        <v>2.1000704721634955</v>
      </c>
      <c r="X933" s="4">
        <f t="shared" si="330"/>
        <v>766.52572233967589</v>
      </c>
      <c r="Y933" s="4">
        <f t="shared" si="331"/>
        <v>0.95815715292459491</v>
      </c>
      <c r="AB933" s="5">
        <f t="shared" si="332"/>
        <v>45292</v>
      </c>
      <c r="AC933" s="5">
        <f t="shared" si="333"/>
        <v>45657</v>
      </c>
      <c r="AD933" s="1">
        <v>7</v>
      </c>
      <c r="AE933" s="1">
        <f t="shared" si="334"/>
        <v>0</v>
      </c>
      <c r="AF933" s="1">
        <f t="shared" si="335"/>
        <v>0</v>
      </c>
      <c r="AG933" s="1">
        <f t="shared" si="336"/>
        <v>0</v>
      </c>
      <c r="AH933" s="1">
        <f t="shared" si="337"/>
        <v>0</v>
      </c>
      <c r="AI933" s="1">
        <f t="shared" si="338"/>
        <v>183</v>
      </c>
      <c r="AJ933" s="3">
        <f t="shared" si="339"/>
        <v>0.5</v>
      </c>
      <c r="AK933" s="3">
        <f t="shared" si="340"/>
        <v>0.47907857646229746</v>
      </c>
      <c r="AL933" s="3">
        <f t="shared" si="341"/>
        <v>1.6767750176180412</v>
      </c>
      <c r="AM933" s="3">
        <f t="shared" si="342"/>
        <v>4.1919375440451025</v>
      </c>
      <c r="AN933" s="3">
        <f t="shared" si="343"/>
        <v>0</v>
      </c>
      <c r="AO933" s="3">
        <f t="shared" si="344"/>
        <v>4.1919375440451025</v>
      </c>
      <c r="AP933" s="1" t="str">
        <f>INDEX({"EAD";"EAD";"EAD";"EAD MOOC";"EAD";"EAD";"EAD FP";"EAD";"PRESENCIAL";"PRESENCIAL";"PRESENCIAL";"PRESENCIAL"}, MATCH(CONCATENATE(E933, ".", F933),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34" spans="1:42" x14ac:dyDescent="0.25">
      <c r="A934" s="1" t="s">
        <v>27</v>
      </c>
      <c r="B934" s="1" t="s">
        <v>52</v>
      </c>
      <c r="C934" s="1" t="s">
        <v>29</v>
      </c>
      <c r="D934" s="1" t="s">
        <v>53</v>
      </c>
      <c r="E934" s="1" t="s">
        <v>120</v>
      </c>
      <c r="F934" s="1" t="s">
        <v>21</v>
      </c>
      <c r="G934" s="1" t="s">
        <v>140</v>
      </c>
      <c r="H934" s="1" t="s">
        <v>550</v>
      </c>
      <c r="I934" s="1" t="s">
        <v>209</v>
      </c>
      <c r="J934" s="1" t="s">
        <v>125</v>
      </c>
      <c r="K934" s="1" t="s">
        <v>109</v>
      </c>
      <c r="L934" s="1">
        <v>2679034</v>
      </c>
      <c r="M934" s="1" t="s">
        <v>1102</v>
      </c>
      <c r="N934" s="5">
        <f t="shared" si="346"/>
        <v>43864</v>
      </c>
      <c r="O934" s="5">
        <f>DATE(2022,12,16)</f>
        <v>44911</v>
      </c>
      <c r="P934" s="5">
        <f t="shared" si="325"/>
        <v>46006</v>
      </c>
      <c r="Q934" s="1">
        <v>2210</v>
      </c>
      <c r="R934" s="1">
        <v>2000</v>
      </c>
      <c r="S934" s="1">
        <f t="shared" si="326"/>
        <v>2000</v>
      </c>
      <c r="T934" s="1">
        <v>1.5</v>
      </c>
      <c r="U934" s="1" t="str">
        <f t="shared" si="327"/>
        <v>SIM</v>
      </c>
      <c r="V934" s="1">
        <f t="shared" si="328"/>
        <v>1048</v>
      </c>
      <c r="W934" s="4">
        <f t="shared" si="329"/>
        <v>1.9083969465648856</v>
      </c>
      <c r="X934" s="4">
        <f t="shared" si="330"/>
        <v>696.56488549618325</v>
      </c>
      <c r="Y934" s="4">
        <f t="shared" si="331"/>
        <v>0.87070610687022909</v>
      </c>
      <c r="AB934" s="5">
        <f t="shared" si="332"/>
        <v>45292</v>
      </c>
      <c r="AC934" s="5">
        <f t="shared" si="333"/>
        <v>45657</v>
      </c>
      <c r="AD934" s="1">
        <v>5</v>
      </c>
      <c r="AE934" s="1">
        <f t="shared" si="334"/>
        <v>0</v>
      </c>
      <c r="AF934" s="1">
        <f t="shared" si="335"/>
        <v>0</v>
      </c>
      <c r="AG934" s="1">
        <f t="shared" si="336"/>
        <v>0</v>
      </c>
      <c r="AH934" s="1">
        <f t="shared" si="337"/>
        <v>0</v>
      </c>
      <c r="AI934" s="1">
        <f t="shared" si="338"/>
        <v>183</v>
      </c>
      <c r="AJ934" s="3">
        <f t="shared" si="339"/>
        <v>0.5</v>
      </c>
      <c r="AK934" s="3">
        <f t="shared" si="340"/>
        <v>0.43535305343511455</v>
      </c>
      <c r="AL934" s="3">
        <f t="shared" si="341"/>
        <v>1.0883826335877864</v>
      </c>
      <c r="AM934" s="3">
        <f t="shared" si="342"/>
        <v>1.6325739503816796</v>
      </c>
      <c r="AN934" s="3">
        <f t="shared" si="343"/>
        <v>0</v>
      </c>
      <c r="AO934" s="3">
        <f t="shared" si="344"/>
        <v>1.6325739503816796</v>
      </c>
      <c r="AP934" s="1" t="str">
        <f>INDEX({"EAD";"EAD";"EAD";"EAD MOOC";"EAD";"EAD";"EAD FP";"EAD";"PRESENCIAL";"PRESENCIAL";"PRESENCIAL";"PRESENCIAL"}, MATCH(CONCATENATE(E934, ".", F934),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35" spans="1:42" x14ac:dyDescent="0.25">
      <c r="A935" s="1" t="s">
        <v>27</v>
      </c>
      <c r="B935" s="1" t="s">
        <v>52</v>
      </c>
      <c r="C935" s="1" t="s">
        <v>29</v>
      </c>
      <c r="D935" s="1" t="s">
        <v>53</v>
      </c>
      <c r="E935" s="1" t="s">
        <v>120</v>
      </c>
      <c r="F935" s="1" t="s">
        <v>21</v>
      </c>
      <c r="G935" s="1" t="s">
        <v>128</v>
      </c>
      <c r="H935" s="1" t="s">
        <v>223</v>
      </c>
      <c r="I935" s="1" t="s">
        <v>224</v>
      </c>
      <c r="J935" s="1" t="s">
        <v>125</v>
      </c>
      <c r="K935" s="1" t="s">
        <v>130</v>
      </c>
      <c r="L935" s="1">
        <v>2772510</v>
      </c>
      <c r="M935" s="1" t="s">
        <v>1103</v>
      </c>
      <c r="N935" s="5">
        <f t="shared" ref="N935:N941" si="347">DATE(2021,4,5)</f>
        <v>44291</v>
      </c>
      <c r="O935" s="5">
        <f>DATE(2023,12,22)</f>
        <v>45282</v>
      </c>
      <c r="P935" s="5">
        <f t="shared" si="325"/>
        <v>46377</v>
      </c>
      <c r="Q935" s="1">
        <v>3400</v>
      </c>
      <c r="R935" s="1">
        <v>1200</v>
      </c>
      <c r="S935" s="1">
        <f t="shared" si="326"/>
        <v>3200</v>
      </c>
      <c r="T935" s="1">
        <v>2.5</v>
      </c>
      <c r="U935" s="1" t="str">
        <f t="shared" si="327"/>
        <v>SIM</v>
      </c>
      <c r="V935" s="1">
        <f t="shared" si="328"/>
        <v>992</v>
      </c>
      <c r="W935" s="4">
        <f t="shared" si="329"/>
        <v>3.225806451612903</v>
      </c>
      <c r="X935" s="4">
        <f t="shared" si="330"/>
        <v>1177.4193548387095</v>
      </c>
      <c r="Y935" s="4">
        <f t="shared" si="331"/>
        <v>1.471774193548387</v>
      </c>
      <c r="AB935" s="5">
        <f t="shared" si="332"/>
        <v>45292</v>
      </c>
      <c r="AC935" s="5">
        <f t="shared" si="333"/>
        <v>45657</v>
      </c>
      <c r="AD935" s="1">
        <v>8</v>
      </c>
      <c r="AE935" s="1">
        <f t="shared" si="334"/>
        <v>0</v>
      </c>
      <c r="AF935" s="1">
        <f t="shared" si="335"/>
        <v>0</v>
      </c>
      <c r="AG935" s="1">
        <f t="shared" si="336"/>
        <v>0</v>
      </c>
      <c r="AH935" s="1">
        <f t="shared" si="337"/>
        <v>0</v>
      </c>
      <c r="AI935" s="1">
        <f t="shared" si="338"/>
        <v>183</v>
      </c>
      <c r="AJ935" s="3">
        <f t="shared" si="339"/>
        <v>0.5</v>
      </c>
      <c r="AK935" s="3">
        <f t="shared" si="340"/>
        <v>0.73588709677419351</v>
      </c>
      <c r="AL935" s="3">
        <f t="shared" si="341"/>
        <v>2.943548387096774</v>
      </c>
      <c r="AM935" s="3">
        <f t="shared" si="342"/>
        <v>7.3588709677419351</v>
      </c>
      <c r="AN935" s="3">
        <f t="shared" si="343"/>
        <v>0</v>
      </c>
      <c r="AO935" s="3">
        <f t="shared" si="344"/>
        <v>7.3588709677419351</v>
      </c>
      <c r="AP935" s="1" t="str">
        <f>INDEX({"EAD";"EAD";"EAD";"EAD MOOC";"EAD";"EAD";"EAD FP";"EAD";"PRESENCIAL";"PRESENCIAL";"PRESENCIAL";"PRESENCIAL"}, MATCH(CONCATENATE(E935, ".", F935),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36" spans="1:42" x14ac:dyDescent="0.25">
      <c r="A936" s="1" t="s">
        <v>27</v>
      </c>
      <c r="B936" s="1" t="s">
        <v>52</v>
      </c>
      <c r="C936" s="1" t="s">
        <v>29</v>
      </c>
      <c r="D936" s="1" t="s">
        <v>53</v>
      </c>
      <c r="E936" s="1" t="s">
        <v>120</v>
      </c>
      <c r="F936" s="1" t="s">
        <v>21</v>
      </c>
      <c r="G936" s="1" t="s">
        <v>128</v>
      </c>
      <c r="H936" s="1" t="s">
        <v>129</v>
      </c>
      <c r="I936" s="1" t="s">
        <v>124</v>
      </c>
      <c r="J936" s="1" t="s">
        <v>125</v>
      </c>
      <c r="K936" s="1" t="s">
        <v>130</v>
      </c>
      <c r="L936" s="1">
        <v>2772614</v>
      </c>
      <c r="M936" s="1" t="s">
        <v>1104</v>
      </c>
      <c r="N936" s="5">
        <f t="shared" si="347"/>
        <v>44291</v>
      </c>
      <c r="O936" s="5">
        <f>DATE(2023,12,22)</f>
        <v>45282</v>
      </c>
      <c r="P936" s="5">
        <f t="shared" si="325"/>
        <v>46377</v>
      </c>
      <c r="Q936" s="1">
        <v>3424</v>
      </c>
      <c r="R936" s="1">
        <v>800</v>
      </c>
      <c r="S936" s="1">
        <f t="shared" si="326"/>
        <v>3000</v>
      </c>
      <c r="T936" s="1">
        <v>1.5</v>
      </c>
      <c r="U936" s="1" t="str">
        <f t="shared" si="327"/>
        <v>SIM</v>
      </c>
      <c r="V936" s="1">
        <f t="shared" si="328"/>
        <v>992</v>
      </c>
      <c r="W936" s="4">
        <f t="shared" si="329"/>
        <v>3.024193548387097</v>
      </c>
      <c r="X936" s="4">
        <f t="shared" si="330"/>
        <v>1103.8306451612905</v>
      </c>
      <c r="Y936" s="4">
        <f t="shared" si="331"/>
        <v>1.379788306451613</v>
      </c>
      <c r="AB936" s="5">
        <f t="shared" si="332"/>
        <v>45292</v>
      </c>
      <c r="AC936" s="5">
        <f t="shared" si="333"/>
        <v>45657</v>
      </c>
      <c r="AD936" s="1">
        <v>23</v>
      </c>
      <c r="AE936" s="1">
        <f t="shared" si="334"/>
        <v>0</v>
      </c>
      <c r="AF936" s="1">
        <f t="shared" si="335"/>
        <v>0</v>
      </c>
      <c r="AG936" s="1">
        <f t="shared" si="336"/>
        <v>0</v>
      </c>
      <c r="AH936" s="1">
        <f t="shared" si="337"/>
        <v>0</v>
      </c>
      <c r="AI936" s="1">
        <f t="shared" si="338"/>
        <v>183</v>
      </c>
      <c r="AJ936" s="3">
        <f t="shared" si="339"/>
        <v>0.5</v>
      </c>
      <c r="AK936" s="3">
        <f t="shared" si="340"/>
        <v>0.68989415322580649</v>
      </c>
      <c r="AL936" s="3">
        <f t="shared" si="341"/>
        <v>7.9337827620967749</v>
      </c>
      <c r="AM936" s="3">
        <f t="shared" si="342"/>
        <v>11.900674143145162</v>
      </c>
      <c r="AN936" s="3">
        <f t="shared" si="343"/>
        <v>0</v>
      </c>
      <c r="AO936" s="3">
        <f t="shared" si="344"/>
        <v>11.900674143145162</v>
      </c>
      <c r="AP936" s="1" t="str">
        <f>INDEX({"EAD";"EAD";"EAD";"EAD MOOC";"EAD";"EAD";"EAD FP";"EAD";"PRESENCIAL";"PRESENCIAL";"PRESENCIAL";"PRESENCIAL"}, MATCH(CONCATENATE(E936, ".", F936),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37" spans="1:42" x14ac:dyDescent="0.25">
      <c r="A937" s="1" t="s">
        <v>27</v>
      </c>
      <c r="B937" s="1" t="s">
        <v>52</v>
      </c>
      <c r="C937" s="1" t="s">
        <v>29</v>
      </c>
      <c r="D937" s="1" t="s">
        <v>53</v>
      </c>
      <c r="E937" s="1" t="s">
        <v>120</v>
      </c>
      <c r="F937" s="1" t="s">
        <v>21</v>
      </c>
      <c r="G937" s="1" t="s">
        <v>128</v>
      </c>
      <c r="H937" s="1" t="s">
        <v>208</v>
      </c>
      <c r="I937" s="1" t="s">
        <v>209</v>
      </c>
      <c r="J937" s="1" t="s">
        <v>125</v>
      </c>
      <c r="K937" s="1" t="s">
        <v>130</v>
      </c>
      <c r="L937" s="1">
        <v>2772671</v>
      </c>
      <c r="M937" s="1" t="s">
        <v>1105</v>
      </c>
      <c r="N937" s="5">
        <f t="shared" si="347"/>
        <v>44291</v>
      </c>
      <c r="O937" s="5">
        <f>DATE(2023,12,22)</f>
        <v>45282</v>
      </c>
      <c r="P937" s="5">
        <f t="shared" si="325"/>
        <v>46377</v>
      </c>
      <c r="Q937" s="1">
        <v>3560</v>
      </c>
      <c r="R937" s="1">
        <v>1200</v>
      </c>
      <c r="S937" s="1">
        <f t="shared" si="326"/>
        <v>3200</v>
      </c>
      <c r="T937" s="1">
        <v>1.5</v>
      </c>
      <c r="U937" s="1" t="str">
        <f t="shared" si="327"/>
        <v>SIM</v>
      </c>
      <c r="V937" s="1">
        <f t="shared" si="328"/>
        <v>992</v>
      </c>
      <c r="W937" s="4">
        <f t="shared" si="329"/>
        <v>3.225806451612903</v>
      </c>
      <c r="X937" s="4">
        <f t="shared" si="330"/>
        <v>1177.4193548387095</v>
      </c>
      <c r="Y937" s="4">
        <f t="shared" si="331"/>
        <v>1.471774193548387</v>
      </c>
      <c r="AB937" s="5">
        <f t="shared" si="332"/>
        <v>45292</v>
      </c>
      <c r="AC937" s="5">
        <f t="shared" si="333"/>
        <v>45657</v>
      </c>
      <c r="AD937" s="1">
        <v>17</v>
      </c>
      <c r="AE937" s="1">
        <f t="shared" si="334"/>
        <v>0</v>
      </c>
      <c r="AF937" s="1">
        <f t="shared" si="335"/>
        <v>0</v>
      </c>
      <c r="AG937" s="1">
        <f t="shared" si="336"/>
        <v>0</v>
      </c>
      <c r="AH937" s="1">
        <f t="shared" si="337"/>
        <v>0</v>
      </c>
      <c r="AI937" s="1">
        <f t="shared" si="338"/>
        <v>183</v>
      </c>
      <c r="AJ937" s="3">
        <f t="shared" si="339"/>
        <v>0.5</v>
      </c>
      <c r="AK937" s="3">
        <f t="shared" si="340"/>
        <v>0.73588709677419351</v>
      </c>
      <c r="AL937" s="3">
        <f t="shared" si="341"/>
        <v>6.255040322580645</v>
      </c>
      <c r="AM937" s="3">
        <f t="shared" si="342"/>
        <v>9.382560483870968</v>
      </c>
      <c r="AN937" s="3">
        <f t="shared" si="343"/>
        <v>0</v>
      </c>
      <c r="AO937" s="3">
        <f t="shared" si="344"/>
        <v>9.382560483870968</v>
      </c>
      <c r="AP937" s="1" t="str">
        <f>INDEX({"EAD";"EAD";"EAD";"EAD MOOC";"EAD";"EAD";"EAD FP";"EAD";"PRESENCIAL";"PRESENCIAL";"PRESENCIAL";"PRESENCIAL"}, MATCH(CONCATENATE(E937, ".", F937),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38" spans="1:42" x14ac:dyDescent="0.25">
      <c r="A938" s="1" t="s">
        <v>27</v>
      </c>
      <c r="B938" s="1" t="s">
        <v>52</v>
      </c>
      <c r="C938" s="1" t="s">
        <v>29</v>
      </c>
      <c r="D938" s="1" t="s">
        <v>53</v>
      </c>
      <c r="E938" s="1" t="s">
        <v>120</v>
      </c>
      <c r="F938" s="1" t="s">
        <v>21</v>
      </c>
      <c r="G938" s="1" t="s">
        <v>140</v>
      </c>
      <c r="H938" s="1" t="s">
        <v>550</v>
      </c>
      <c r="I938" s="1" t="s">
        <v>209</v>
      </c>
      <c r="J938" s="1" t="s">
        <v>125</v>
      </c>
      <c r="K938" s="1" t="s">
        <v>109</v>
      </c>
      <c r="L938" s="1">
        <v>2772761</v>
      </c>
      <c r="M938" s="1" t="s">
        <v>1106</v>
      </c>
      <c r="N938" s="5">
        <f t="shared" si="347"/>
        <v>44291</v>
      </c>
      <c r="O938" s="5">
        <f>DATE(2023,12,22)</f>
        <v>45282</v>
      </c>
      <c r="P938" s="5">
        <f t="shared" si="325"/>
        <v>46377</v>
      </c>
      <c r="Q938" s="1">
        <v>2278</v>
      </c>
      <c r="R938" s="1">
        <v>2000</v>
      </c>
      <c r="S938" s="1">
        <f t="shared" si="326"/>
        <v>2000</v>
      </c>
      <c r="T938" s="1">
        <v>1.5</v>
      </c>
      <c r="U938" s="1" t="str">
        <f t="shared" si="327"/>
        <v>SIM</v>
      </c>
      <c r="V938" s="1">
        <f t="shared" si="328"/>
        <v>992</v>
      </c>
      <c r="W938" s="4">
        <f t="shared" si="329"/>
        <v>2.0161290322580645</v>
      </c>
      <c r="X938" s="4">
        <f t="shared" si="330"/>
        <v>735.88709677419354</v>
      </c>
      <c r="Y938" s="4">
        <f t="shared" si="331"/>
        <v>0.91985887096774188</v>
      </c>
      <c r="AB938" s="5">
        <f t="shared" si="332"/>
        <v>45292</v>
      </c>
      <c r="AC938" s="5">
        <f t="shared" si="333"/>
        <v>45657</v>
      </c>
      <c r="AD938" s="1">
        <v>17</v>
      </c>
      <c r="AE938" s="1">
        <f t="shared" si="334"/>
        <v>0</v>
      </c>
      <c r="AF938" s="1">
        <f t="shared" si="335"/>
        <v>0</v>
      </c>
      <c r="AG938" s="1">
        <f t="shared" si="336"/>
        <v>0</v>
      </c>
      <c r="AH938" s="1">
        <f t="shared" si="337"/>
        <v>0</v>
      </c>
      <c r="AI938" s="1">
        <f t="shared" si="338"/>
        <v>183</v>
      </c>
      <c r="AJ938" s="3">
        <f t="shared" si="339"/>
        <v>0.5</v>
      </c>
      <c r="AK938" s="3">
        <f t="shared" si="340"/>
        <v>0.45992943548387094</v>
      </c>
      <c r="AL938" s="3">
        <f t="shared" si="341"/>
        <v>3.909400201612903</v>
      </c>
      <c r="AM938" s="3">
        <f t="shared" si="342"/>
        <v>5.8641003024193541</v>
      </c>
      <c r="AN938" s="3">
        <f t="shared" si="343"/>
        <v>0</v>
      </c>
      <c r="AO938" s="3">
        <f t="shared" si="344"/>
        <v>5.8641003024193541</v>
      </c>
      <c r="AP938" s="1" t="str">
        <f>INDEX({"EAD";"EAD";"EAD";"EAD MOOC";"EAD";"EAD";"EAD FP";"EAD";"PRESENCIAL";"PRESENCIAL";"PRESENCIAL";"PRESENCIAL"}, MATCH(CONCATENATE(E938, ".", F938),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39" spans="1:42" x14ac:dyDescent="0.25">
      <c r="A939" s="1" t="s">
        <v>27</v>
      </c>
      <c r="B939" s="1" t="s">
        <v>52</v>
      </c>
      <c r="C939" s="1" t="s">
        <v>29</v>
      </c>
      <c r="D939" s="1" t="s">
        <v>53</v>
      </c>
      <c r="E939" s="1" t="s">
        <v>120</v>
      </c>
      <c r="F939" s="1" t="s">
        <v>21</v>
      </c>
      <c r="G939" s="1" t="s">
        <v>140</v>
      </c>
      <c r="H939" s="1" t="s">
        <v>1089</v>
      </c>
      <c r="I939" s="1" t="s">
        <v>503</v>
      </c>
      <c r="J939" s="1" t="s">
        <v>125</v>
      </c>
      <c r="K939" s="1" t="s">
        <v>109</v>
      </c>
      <c r="L939" s="1">
        <v>2772794</v>
      </c>
      <c r="M939" s="1" t="s">
        <v>1107</v>
      </c>
      <c r="N939" s="5">
        <f t="shared" si="347"/>
        <v>44291</v>
      </c>
      <c r="O939" s="5">
        <f>DATE(2024,7,12)</f>
        <v>45485</v>
      </c>
      <c r="P939" s="5">
        <f t="shared" si="325"/>
        <v>46580</v>
      </c>
      <c r="Q939" s="1">
        <v>2480</v>
      </c>
      <c r="R939" s="1">
        <v>2400</v>
      </c>
      <c r="S939" s="1">
        <f t="shared" si="326"/>
        <v>2400</v>
      </c>
      <c r="T939" s="1">
        <v>2.5</v>
      </c>
      <c r="U939" s="1" t="str">
        <f t="shared" si="327"/>
        <v>SIM</v>
      </c>
      <c r="V939" s="1">
        <f t="shared" si="328"/>
        <v>1195</v>
      </c>
      <c r="W939" s="4">
        <f t="shared" si="329"/>
        <v>2.00836820083682</v>
      </c>
      <c r="X939" s="4">
        <f t="shared" si="330"/>
        <v>733.05439330543925</v>
      </c>
      <c r="Y939" s="4">
        <f t="shared" si="331"/>
        <v>0.91631799163179906</v>
      </c>
      <c r="AB939" s="5">
        <f t="shared" si="332"/>
        <v>45292</v>
      </c>
      <c r="AC939" s="5">
        <f t="shared" si="333"/>
        <v>45657</v>
      </c>
      <c r="AD939" s="1">
        <v>14</v>
      </c>
      <c r="AE939" s="1">
        <f t="shared" si="334"/>
        <v>0</v>
      </c>
      <c r="AF939" s="1">
        <f t="shared" si="335"/>
        <v>0</v>
      </c>
      <c r="AG939" s="1">
        <f t="shared" si="336"/>
        <v>194</v>
      </c>
      <c r="AH939" s="1">
        <f t="shared" si="337"/>
        <v>0</v>
      </c>
      <c r="AI939" s="1">
        <f t="shared" si="338"/>
        <v>0</v>
      </c>
      <c r="AJ939" s="3">
        <f t="shared" si="339"/>
        <v>0.5300546448087432</v>
      </c>
      <c r="AK939" s="3">
        <f t="shared" si="340"/>
        <v>0.48569860758625416</v>
      </c>
      <c r="AL939" s="3">
        <f t="shared" si="341"/>
        <v>6.7997805062075578</v>
      </c>
      <c r="AM939" s="3">
        <f t="shared" si="342"/>
        <v>16.999451265518893</v>
      </c>
      <c r="AN939" s="3">
        <f t="shared" si="343"/>
        <v>0</v>
      </c>
      <c r="AO939" s="3">
        <f t="shared" si="344"/>
        <v>16.999451265518893</v>
      </c>
      <c r="AP939" s="1" t="str">
        <f>INDEX({"EAD";"EAD";"EAD";"EAD MOOC";"EAD";"EAD";"EAD FP";"EAD";"PRESENCIAL";"PRESENCIAL";"PRESENCIAL";"PRESENCIAL"}, MATCH(CONCATENATE(E939, ".", F939),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40" spans="1:42" x14ac:dyDescent="0.25">
      <c r="A940" s="1" t="s">
        <v>27</v>
      </c>
      <c r="B940" s="1" t="s">
        <v>52</v>
      </c>
      <c r="C940" s="1" t="s">
        <v>29</v>
      </c>
      <c r="D940" s="1" t="s">
        <v>53</v>
      </c>
      <c r="E940" s="1" t="s">
        <v>120</v>
      </c>
      <c r="F940" s="1" t="s">
        <v>21</v>
      </c>
      <c r="G940" s="1" t="s">
        <v>121</v>
      </c>
      <c r="H940" s="1" t="s">
        <v>123</v>
      </c>
      <c r="I940" s="1" t="s">
        <v>124</v>
      </c>
      <c r="J940" s="1" t="s">
        <v>125</v>
      </c>
      <c r="K940" s="1" t="s">
        <v>109</v>
      </c>
      <c r="L940" s="1">
        <v>2772835</v>
      </c>
      <c r="M940" s="1" t="s">
        <v>1108</v>
      </c>
      <c r="N940" s="5">
        <f t="shared" si="347"/>
        <v>44291</v>
      </c>
      <c r="O940" s="5">
        <f>DATE(2025,3,28)</f>
        <v>45744</v>
      </c>
      <c r="P940" s="5">
        <f t="shared" si="325"/>
        <v>46839</v>
      </c>
      <c r="Q940" s="1">
        <v>3000</v>
      </c>
      <c r="R940" s="1">
        <v>3000</v>
      </c>
      <c r="S940" s="1">
        <f t="shared" si="326"/>
        <v>3000</v>
      </c>
      <c r="T940" s="1">
        <v>1</v>
      </c>
      <c r="U940" s="1" t="str">
        <f t="shared" si="327"/>
        <v>SIM</v>
      </c>
      <c r="V940" s="1">
        <f t="shared" si="328"/>
        <v>1454</v>
      </c>
      <c r="W940" s="4">
        <f t="shared" si="329"/>
        <v>2.0632737276478679</v>
      </c>
      <c r="X940" s="4">
        <f t="shared" si="330"/>
        <v>753.09491059147172</v>
      </c>
      <c r="Y940" s="4">
        <f t="shared" si="331"/>
        <v>0.94136863823933969</v>
      </c>
      <c r="AB940" s="5">
        <f t="shared" si="332"/>
        <v>45292</v>
      </c>
      <c r="AC940" s="5">
        <f t="shared" si="333"/>
        <v>45657</v>
      </c>
      <c r="AD940" s="1">
        <v>25</v>
      </c>
      <c r="AE940" s="1">
        <f t="shared" si="334"/>
        <v>366</v>
      </c>
      <c r="AF940" s="1">
        <f t="shared" si="335"/>
        <v>0</v>
      </c>
      <c r="AG940" s="1">
        <f t="shared" si="336"/>
        <v>0</v>
      </c>
      <c r="AH940" s="1">
        <f t="shared" si="337"/>
        <v>0</v>
      </c>
      <c r="AI940" s="1">
        <f t="shared" si="338"/>
        <v>0</v>
      </c>
      <c r="AJ940" s="3">
        <f t="shared" si="339"/>
        <v>1</v>
      </c>
      <c r="AK940" s="3">
        <f t="shared" si="340"/>
        <v>0.94136863823933969</v>
      </c>
      <c r="AL940" s="3">
        <f t="shared" si="341"/>
        <v>23.534215955983491</v>
      </c>
      <c r="AM940" s="3">
        <f t="shared" si="342"/>
        <v>23.534215955983491</v>
      </c>
      <c r="AN940" s="3">
        <f t="shared" si="343"/>
        <v>0</v>
      </c>
      <c r="AO940" s="3">
        <f t="shared" si="344"/>
        <v>23.534215955983491</v>
      </c>
      <c r="AP940" s="1" t="str">
        <f>INDEX({"EAD";"EAD";"EAD";"EAD MOOC";"EAD";"EAD";"EAD FP";"EAD";"PRESENCIAL";"PRESENCIAL";"PRESENCIAL";"PRESENCIAL"}, MATCH(CONCATENATE(E940, ".", F940),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41" spans="1:42" x14ac:dyDescent="0.25">
      <c r="A941" s="1" t="s">
        <v>27</v>
      </c>
      <c r="B941" s="1" t="s">
        <v>52</v>
      </c>
      <c r="C941" s="1" t="s">
        <v>29</v>
      </c>
      <c r="D941" s="1" t="s">
        <v>53</v>
      </c>
      <c r="E941" s="1" t="s">
        <v>120</v>
      </c>
      <c r="F941" s="1" t="s">
        <v>21</v>
      </c>
      <c r="G941" s="1" t="s">
        <v>278</v>
      </c>
      <c r="H941" s="1" t="s">
        <v>407</v>
      </c>
      <c r="I941" s="1" t="s">
        <v>172</v>
      </c>
      <c r="J941" s="1" t="s">
        <v>125</v>
      </c>
      <c r="K941" s="1" t="s">
        <v>109</v>
      </c>
      <c r="L941" s="1">
        <v>2772847</v>
      </c>
      <c r="M941" s="1" t="s">
        <v>1109</v>
      </c>
      <c r="N941" s="5">
        <f t="shared" si="347"/>
        <v>44291</v>
      </c>
      <c r="O941" s="5">
        <f>DATE(2024,12,20)</f>
        <v>45646</v>
      </c>
      <c r="P941" s="5">
        <f t="shared" si="325"/>
        <v>46741</v>
      </c>
      <c r="Q941" s="1">
        <v>2980</v>
      </c>
      <c r="R941" s="1">
        <v>3200</v>
      </c>
      <c r="S941" s="1">
        <f t="shared" si="326"/>
        <v>3200</v>
      </c>
      <c r="T941" s="1">
        <v>2.5</v>
      </c>
      <c r="U941" s="1" t="str">
        <f t="shared" si="327"/>
        <v>SIM</v>
      </c>
      <c r="V941" s="1">
        <f t="shared" si="328"/>
        <v>1356</v>
      </c>
      <c r="W941" s="4">
        <f t="shared" si="329"/>
        <v>2.1976401179941001</v>
      </c>
      <c r="X941" s="4">
        <f t="shared" si="330"/>
        <v>802.13864306784649</v>
      </c>
      <c r="Y941" s="4">
        <f t="shared" si="331"/>
        <v>1.0026733038348081</v>
      </c>
      <c r="AB941" s="5">
        <f t="shared" si="332"/>
        <v>45292</v>
      </c>
      <c r="AC941" s="5">
        <f t="shared" si="333"/>
        <v>45657</v>
      </c>
      <c r="AD941" s="1">
        <v>19</v>
      </c>
      <c r="AE941" s="1">
        <f t="shared" si="334"/>
        <v>0</v>
      </c>
      <c r="AF941" s="1">
        <f t="shared" si="335"/>
        <v>0</v>
      </c>
      <c r="AG941" s="1">
        <f t="shared" si="336"/>
        <v>355</v>
      </c>
      <c r="AH941" s="1">
        <f t="shared" si="337"/>
        <v>0</v>
      </c>
      <c r="AI941" s="1">
        <f t="shared" si="338"/>
        <v>0</v>
      </c>
      <c r="AJ941" s="3">
        <f t="shared" si="339"/>
        <v>0.9699453551912568</v>
      </c>
      <c r="AK941" s="3">
        <f t="shared" si="340"/>
        <v>0.97253831382884393</v>
      </c>
      <c r="AL941" s="3">
        <f t="shared" si="341"/>
        <v>18.478227962748036</v>
      </c>
      <c r="AM941" s="3">
        <f t="shared" si="342"/>
        <v>46.195569906870091</v>
      </c>
      <c r="AN941" s="3">
        <f t="shared" si="343"/>
        <v>0</v>
      </c>
      <c r="AO941" s="3">
        <f t="shared" si="344"/>
        <v>46.195569906870091</v>
      </c>
      <c r="AP941" s="1" t="str">
        <f>INDEX({"EAD";"EAD";"EAD";"EAD MOOC";"EAD";"EAD";"EAD FP";"EAD";"PRESENCIAL";"PRESENCIAL";"PRESENCIAL";"PRESENCIAL"}, MATCH(CONCATENATE(E941, ".", F941),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42" spans="1:42" x14ac:dyDescent="0.25">
      <c r="A942" s="1" t="s">
        <v>27</v>
      </c>
      <c r="B942" s="1" t="s">
        <v>52</v>
      </c>
      <c r="C942" s="1" t="s">
        <v>29</v>
      </c>
      <c r="D942" s="1" t="s">
        <v>53</v>
      </c>
      <c r="E942" s="1" t="s">
        <v>120</v>
      </c>
      <c r="F942" s="1" t="s">
        <v>21</v>
      </c>
      <c r="G942" s="1" t="s">
        <v>128</v>
      </c>
      <c r="H942" s="1" t="s">
        <v>890</v>
      </c>
      <c r="I942" s="1" t="s">
        <v>191</v>
      </c>
      <c r="J942" s="1" t="s">
        <v>125</v>
      </c>
      <c r="K942" s="1" t="s">
        <v>163</v>
      </c>
      <c r="L942" s="1">
        <v>2813926</v>
      </c>
      <c r="M942" s="1" t="s">
        <v>1110</v>
      </c>
      <c r="N942" s="5">
        <f>DATE(2021,10,18)</f>
        <v>44487</v>
      </c>
      <c r="O942" s="5">
        <f>DATE(2023,10,20)</f>
        <v>45219</v>
      </c>
      <c r="P942" s="5">
        <f t="shared" si="325"/>
        <v>46314</v>
      </c>
      <c r="Q942" s="1">
        <v>1224</v>
      </c>
      <c r="R942" s="1">
        <v>1200</v>
      </c>
      <c r="S942" s="1">
        <f t="shared" si="326"/>
        <v>1200</v>
      </c>
      <c r="T942" s="1">
        <v>2.5</v>
      </c>
      <c r="U942" s="1" t="str">
        <f t="shared" si="327"/>
        <v>SIM</v>
      </c>
      <c r="V942" s="1">
        <f t="shared" si="328"/>
        <v>733</v>
      </c>
      <c r="W942" s="4">
        <f t="shared" si="329"/>
        <v>1.6371077762619373</v>
      </c>
      <c r="X942" s="4">
        <f t="shared" si="330"/>
        <v>597.54433833560711</v>
      </c>
      <c r="Y942" s="4">
        <f t="shared" si="331"/>
        <v>0.74693042291950884</v>
      </c>
      <c r="AB942" s="5">
        <f t="shared" si="332"/>
        <v>45292</v>
      </c>
      <c r="AC942" s="5">
        <f t="shared" si="333"/>
        <v>45657</v>
      </c>
      <c r="AD942" s="1">
        <v>9</v>
      </c>
      <c r="AE942" s="1">
        <f t="shared" si="334"/>
        <v>0</v>
      </c>
      <c r="AF942" s="1">
        <f t="shared" si="335"/>
        <v>0</v>
      </c>
      <c r="AG942" s="1">
        <f t="shared" si="336"/>
        <v>0</v>
      </c>
      <c r="AH942" s="1">
        <f t="shared" si="337"/>
        <v>0</v>
      </c>
      <c r="AI942" s="1">
        <f t="shared" si="338"/>
        <v>183</v>
      </c>
      <c r="AJ942" s="3">
        <f t="shared" si="339"/>
        <v>0.5</v>
      </c>
      <c r="AK942" s="3">
        <f t="shared" si="340"/>
        <v>0.37346521145975442</v>
      </c>
      <c r="AL942" s="3">
        <f t="shared" si="341"/>
        <v>1.6805934515688949</v>
      </c>
      <c r="AM942" s="3">
        <f t="shared" si="342"/>
        <v>4.2014836289222375</v>
      </c>
      <c r="AN942" s="3">
        <f t="shared" si="343"/>
        <v>0</v>
      </c>
      <c r="AO942" s="3">
        <f t="shared" si="344"/>
        <v>4.2014836289222375</v>
      </c>
      <c r="AP942" s="1" t="str">
        <f>INDEX({"EAD";"EAD";"EAD";"EAD MOOC";"EAD";"EAD";"EAD FP";"EAD";"PRESENCIAL";"PRESENCIAL";"PRESENCIAL";"PRESENCIAL"}, MATCH(CONCATENATE(E942, ".", F942),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43" spans="1:42" x14ac:dyDescent="0.25">
      <c r="A943" s="1" t="s">
        <v>27</v>
      </c>
      <c r="B943" s="1" t="s">
        <v>52</v>
      </c>
      <c r="C943" s="1" t="s">
        <v>29</v>
      </c>
      <c r="D943" s="1" t="s">
        <v>53</v>
      </c>
      <c r="E943" s="1" t="s">
        <v>120</v>
      </c>
      <c r="F943" s="1" t="s">
        <v>21</v>
      </c>
      <c r="G943" s="1" t="s">
        <v>128</v>
      </c>
      <c r="H943" s="1" t="s">
        <v>129</v>
      </c>
      <c r="I943" s="1" t="s">
        <v>124</v>
      </c>
      <c r="J943" s="1" t="s">
        <v>125</v>
      </c>
      <c r="K943" s="1" t="s">
        <v>130</v>
      </c>
      <c r="L943" s="1">
        <v>2855736</v>
      </c>
      <c r="M943" s="1" t="s">
        <v>1111</v>
      </c>
      <c r="N943" s="5">
        <f t="shared" ref="N943:N948" si="348">DATE(2022,2,7)</f>
        <v>44599</v>
      </c>
      <c r="O943" s="5">
        <f>DATE(2024,12,20)</f>
        <v>45646</v>
      </c>
      <c r="P943" s="5">
        <f t="shared" si="325"/>
        <v>46741</v>
      </c>
      <c r="Q943" s="1">
        <v>3424</v>
      </c>
      <c r="R943" s="1">
        <v>800</v>
      </c>
      <c r="S943" s="1">
        <f t="shared" si="326"/>
        <v>3000</v>
      </c>
      <c r="T943" s="1">
        <v>1.5</v>
      </c>
      <c r="U943" s="1" t="str">
        <f t="shared" si="327"/>
        <v>SIM</v>
      </c>
      <c r="V943" s="1">
        <f t="shared" si="328"/>
        <v>1048</v>
      </c>
      <c r="W943" s="4">
        <f t="shared" si="329"/>
        <v>2.8625954198473282</v>
      </c>
      <c r="X943" s="4">
        <f t="shared" si="330"/>
        <v>1044.8473282442749</v>
      </c>
      <c r="Y943" s="4">
        <f t="shared" si="331"/>
        <v>1.3060591603053435</v>
      </c>
      <c r="AB943" s="5">
        <f t="shared" si="332"/>
        <v>45292</v>
      </c>
      <c r="AC943" s="5">
        <f t="shared" si="333"/>
        <v>45657</v>
      </c>
      <c r="AD943" s="1">
        <v>54</v>
      </c>
      <c r="AE943" s="1">
        <f t="shared" si="334"/>
        <v>0</v>
      </c>
      <c r="AF943" s="1">
        <f t="shared" si="335"/>
        <v>0</v>
      </c>
      <c r="AG943" s="1">
        <f t="shared" si="336"/>
        <v>355</v>
      </c>
      <c r="AH943" s="1">
        <f t="shared" si="337"/>
        <v>0</v>
      </c>
      <c r="AI943" s="1">
        <f t="shared" si="338"/>
        <v>0</v>
      </c>
      <c r="AJ943" s="3">
        <f t="shared" si="339"/>
        <v>0.9699453551912568</v>
      </c>
      <c r="AK943" s="3">
        <f t="shared" si="340"/>
        <v>1.2668060161431611</v>
      </c>
      <c r="AL943" s="3">
        <f t="shared" si="341"/>
        <v>68.407524871730701</v>
      </c>
      <c r="AM943" s="3">
        <f t="shared" si="342"/>
        <v>102.61128730759606</v>
      </c>
      <c r="AN943" s="3">
        <f t="shared" si="343"/>
        <v>0</v>
      </c>
      <c r="AO943" s="3">
        <f t="shared" si="344"/>
        <v>102.61128730759606</v>
      </c>
      <c r="AP943" s="1" t="str">
        <f>INDEX({"EAD";"EAD";"EAD";"EAD MOOC";"EAD";"EAD";"EAD FP";"EAD";"PRESENCIAL";"PRESENCIAL";"PRESENCIAL";"PRESENCIAL"}, MATCH(CONCATENATE(E943, ".", F943),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44" spans="1:42" x14ac:dyDescent="0.25">
      <c r="A944" s="1" t="s">
        <v>27</v>
      </c>
      <c r="B944" s="1" t="s">
        <v>52</v>
      </c>
      <c r="C944" s="1" t="s">
        <v>29</v>
      </c>
      <c r="D944" s="1" t="s">
        <v>53</v>
      </c>
      <c r="E944" s="1" t="s">
        <v>120</v>
      </c>
      <c r="F944" s="1" t="s">
        <v>21</v>
      </c>
      <c r="G944" s="1" t="s">
        <v>128</v>
      </c>
      <c r="H944" s="1" t="s">
        <v>223</v>
      </c>
      <c r="I944" s="1" t="s">
        <v>224</v>
      </c>
      <c r="J944" s="1" t="s">
        <v>125</v>
      </c>
      <c r="K944" s="1" t="s">
        <v>130</v>
      </c>
      <c r="L944" s="1">
        <v>2855756</v>
      </c>
      <c r="M944" s="1" t="s">
        <v>1112</v>
      </c>
      <c r="N944" s="5">
        <f t="shared" si="348"/>
        <v>44599</v>
      </c>
      <c r="O944" s="5">
        <f>DATE(2024,12,20)</f>
        <v>45646</v>
      </c>
      <c r="P944" s="5">
        <f t="shared" si="325"/>
        <v>46741</v>
      </c>
      <c r="Q944" s="1">
        <v>3400</v>
      </c>
      <c r="R944" s="1">
        <v>1200</v>
      </c>
      <c r="S944" s="1">
        <f t="shared" si="326"/>
        <v>3200</v>
      </c>
      <c r="T944" s="1">
        <v>2.5</v>
      </c>
      <c r="U944" s="1" t="str">
        <f t="shared" si="327"/>
        <v>SIM</v>
      </c>
      <c r="V944" s="1">
        <f t="shared" si="328"/>
        <v>1048</v>
      </c>
      <c r="W944" s="4">
        <f t="shared" si="329"/>
        <v>3.053435114503817</v>
      </c>
      <c r="X944" s="4">
        <f t="shared" si="330"/>
        <v>1114.5038167938933</v>
      </c>
      <c r="Y944" s="4">
        <f t="shared" si="331"/>
        <v>1.3931297709923667</v>
      </c>
      <c r="AB944" s="5">
        <f t="shared" si="332"/>
        <v>45292</v>
      </c>
      <c r="AC944" s="5">
        <f t="shared" si="333"/>
        <v>45657</v>
      </c>
      <c r="AD944" s="1">
        <v>44</v>
      </c>
      <c r="AE944" s="1">
        <f t="shared" si="334"/>
        <v>0</v>
      </c>
      <c r="AF944" s="1">
        <f t="shared" si="335"/>
        <v>0</v>
      </c>
      <c r="AG944" s="1">
        <f t="shared" si="336"/>
        <v>355</v>
      </c>
      <c r="AH944" s="1">
        <f t="shared" si="337"/>
        <v>0</v>
      </c>
      <c r="AI944" s="1">
        <f t="shared" si="338"/>
        <v>0</v>
      </c>
      <c r="AJ944" s="3">
        <f t="shared" si="339"/>
        <v>0.9699453551912568</v>
      </c>
      <c r="AK944" s="3">
        <f t="shared" si="340"/>
        <v>1.3512597505527053</v>
      </c>
      <c r="AL944" s="3">
        <f t="shared" si="341"/>
        <v>59.455429024319031</v>
      </c>
      <c r="AM944" s="3">
        <f t="shared" si="342"/>
        <v>148.63857256079757</v>
      </c>
      <c r="AN944" s="3">
        <f t="shared" si="343"/>
        <v>0</v>
      </c>
      <c r="AO944" s="3">
        <f t="shared" si="344"/>
        <v>148.63857256079757</v>
      </c>
      <c r="AP944" s="1" t="str">
        <f>INDEX({"EAD";"EAD";"EAD";"EAD MOOC";"EAD";"EAD";"EAD FP";"EAD";"PRESENCIAL";"PRESENCIAL";"PRESENCIAL";"PRESENCIAL"}, MATCH(CONCATENATE(E944, ".", F944),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45" spans="1:42" x14ac:dyDescent="0.25">
      <c r="A945" s="1" t="s">
        <v>27</v>
      </c>
      <c r="B945" s="1" t="s">
        <v>52</v>
      </c>
      <c r="C945" s="1" t="s">
        <v>29</v>
      </c>
      <c r="D945" s="1" t="s">
        <v>53</v>
      </c>
      <c r="E945" s="1" t="s">
        <v>120</v>
      </c>
      <c r="F945" s="1" t="s">
        <v>21</v>
      </c>
      <c r="G945" s="1" t="s">
        <v>128</v>
      </c>
      <c r="H945" s="1" t="s">
        <v>208</v>
      </c>
      <c r="I945" s="1" t="s">
        <v>209</v>
      </c>
      <c r="J945" s="1" t="s">
        <v>125</v>
      </c>
      <c r="K945" s="1" t="s">
        <v>130</v>
      </c>
      <c r="L945" s="1">
        <v>2855760</v>
      </c>
      <c r="M945" s="1" t="s">
        <v>1113</v>
      </c>
      <c r="N945" s="5">
        <f t="shared" si="348"/>
        <v>44599</v>
      </c>
      <c r="O945" s="5">
        <f>DATE(2024,12,20)</f>
        <v>45646</v>
      </c>
      <c r="P945" s="5">
        <f t="shared" si="325"/>
        <v>46741</v>
      </c>
      <c r="Q945" s="1">
        <v>3560</v>
      </c>
      <c r="R945" s="1">
        <v>1200</v>
      </c>
      <c r="S945" s="1">
        <f t="shared" si="326"/>
        <v>3200</v>
      </c>
      <c r="T945" s="1">
        <v>1.5</v>
      </c>
      <c r="U945" s="1" t="str">
        <f t="shared" si="327"/>
        <v>SIM</v>
      </c>
      <c r="V945" s="1">
        <f t="shared" si="328"/>
        <v>1048</v>
      </c>
      <c r="W945" s="4">
        <f t="shared" si="329"/>
        <v>3.053435114503817</v>
      </c>
      <c r="X945" s="4">
        <f t="shared" si="330"/>
        <v>1114.5038167938933</v>
      </c>
      <c r="Y945" s="4">
        <f t="shared" si="331"/>
        <v>1.3931297709923667</v>
      </c>
      <c r="AB945" s="5">
        <f t="shared" si="332"/>
        <v>45292</v>
      </c>
      <c r="AC945" s="5">
        <f t="shared" si="333"/>
        <v>45657</v>
      </c>
      <c r="AD945" s="1">
        <v>50</v>
      </c>
      <c r="AE945" s="1">
        <f t="shared" si="334"/>
        <v>0</v>
      </c>
      <c r="AF945" s="1">
        <f t="shared" si="335"/>
        <v>0</v>
      </c>
      <c r="AG945" s="1">
        <f t="shared" si="336"/>
        <v>355</v>
      </c>
      <c r="AH945" s="1">
        <f t="shared" si="337"/>
        <v>0</v>
      </c>
      <c r="AI945" s="1">
        <f t="shared" si="338"/>
        <v>0</v>
      </c>
      <c r="AJ945" s="3">
        <f t="shared" si="339"/>
        <v>0.9699453551912568</v>
      </c>
      <c r="AK945" s="3">
        <f t="shared" si="340"/>
        <v>1.3512597505527053</v>
      </c>
      <c r="AL945" s="3">
        <f t="shared" si="341"/>
        <v>67.562987527635272</v>
      </c>
      <c r="AM945" s="3">
        <f t="shared" si="342"/>
        <v>101.34448129145291</v>
      </c>
      <c r="AN945" s="3">
        <f t="shared" si="343"/>
        <v>0</v>
      </c>
      <c r="AO945" s="3">
        <f t="shared" si="344"/>
        <v>101.34448129145291</v>
      </c>
      <c r="AP945" s="1" t="str">
        <f>INDEX({"EAD";"EAD";"EAD";"EAD MOOC";"EAD";"EAD";"EAD FP";"EAD";"PRESENCIAL";"PRESENCIAL";"PRESENCIAL";"PRESENCIAL"}, MATCH(CONCATENATE(E945, ".", F945),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46" spans="1:42" x14ac:dyDescent="0.25">
      <c r="A946" s="1" t="s">
        <v>27</v>
      </c>
      <c r="B946" s="1" t="s">
        <v>52</v>
      </c>
      <c r="C946" s="1" t="s">
        <v>29</v>
      </c>
      <c r="D946" s="1" t="s">
        <v>53</v>
      </c>
      <c r="E946" s="1" t="s">
        <v>120</v>
      </c>
      <c r="F946" s="1" t="s">
        <v>21</v>
      </c>
      <c r="G946" s="1" t="s">
        <v>278</v>
      </c>
      <c r="H946" s="1" t="s">
        <v>407</v>
      </c>
      <c r="I946" s="1" t="s">
        <v>172</v>
      </c>
      <c r="J946" s="1" t="s">
        <v>125</v>
      </c>
      <c r="K946" s="1" t="s">
        <v>109</v>
      </c>
      <c r="L946" s="1">
        <v>2855831</v>
      </c>
      <c r="M946" s="1" t="s">
        <v>1114</v>
      </c>
      <c r="N946" s="5">
        <f t="shared" si="348"/>
        <v>44599</v>
      </c>
      <c r="O946" s="5">
        <f>DATE(2025,12,19)</f>
        <v>46010</v>
      </c>
      <c r="P946" s="5">
        <f t="shared" si="325"/>
        <v>47105</v>
      </c>
      <c r="Q946" s="1">
        <v>2980</v>
      </c>
      <c r="R946" s="1">
        <v>3200</v>
      </c>
      <c r="S946" s="1">
        <f t="shared" si="326"/>
        <v>3200</v>
      </c>
      <c r="T946" s="1">
        <v>2.5</v>
      </c>
      <c r="U946" s="1" t="str">
        <f t="shared" si="327"/>
        <v>SIM</v>
      </c>
      <c r="V946" s="1">
        <f t="shared" si="328"/>
        <v>1412</v>
      </c>
      <c r="W946" s="4">
        <f t="shared" si="329"/>
        <v>2.1104815864022664</v>
      </c>
      <c r="X946" s="4">
        <f t="shared" si="330"/>
        <v>770.32577903682727</v>
      </c>
      <c r="Y946" s="4">
        <f t="shared" si="331"/>
        <v>0.96290722379603411</v>
      </c>
      <c r="AB946" s="5">
        <f t="shared" si="332"/>
        <v>45292</v>
      </c>
      <c r="AC946" s="5">
        <f t="shared" si="333"/>
        <v>45657</v>
      </c>
      <c r="AD946" s="1">
        <v>2</v>
      </c>
      <c r="AE946" s="1">
        <f t="shared" si="334"/>
        <v>366</v>
      </c>
      <c r="AF946" s="1">
        <f t="shared" si="335"/>
        <v>0</v>
      </c>
      <c r="AG946" s="1">
        <f t="shared" si="336"/>
        <v>0</v>
      </c>
      <c r="AH946" s="1">
        <f t="shared" si="337"/>
        <v>0</v>
      </c>
      <c r="AI946" s="1">
        <f t="shared" si="338"/>
        <v>0</v>
      </c>
      <c r="AJ946" s="3">
        <f t="shared" si="339"/>
        <v>1</v>
      </c>
      <c r="AK946" s="3">
        <f t="shared" si="340"/>
        <v>0.96290722379603411</v>
      </c>
      <c r="AL946" s="3">
        <f t="shared" si="341"/>
        <v>1.9258144475920682</v>
      </c>
      <c r="AM946" s="3">
        <f t="shared" si="342"/>
        <v>4.8145361189801701</v>
      </c>
      <c r="AN946" s="3">
        <f t="shared" si="343"/>
        <v>0</v>
      </c>
      <c r="AO946" s="3">
        <f t="shared" si="344"/>
        <v>4.8145361189801701</v>
      </c>
      <c r="AP946" s="1" t="str">
        <f>INDEX({"EAD";"EAD";"EAD";"EAD MOOC";"EAD";"EAD";"EAD FP";"EAD";"PRESENCIAL";"PRESENCIAL";"PRESENCIAL";"PRESENCIAL"}, MATCH(CONCATENATE(E946, ".", F946),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47" spans="1:42" x14ac:dyDescent="0.25">
      <c r="A947" s="1" t="s">
        <v>27</v>
      </c>
      <c r="B947" s="1" t="s">
        <v>52</v>
      </c>
      <c r="C947" s="1" t="s">
        <v>29</v>
      </c>
      <c r="D947" s="1" t="s">
        <v>53</v>
      </c>
      <c r="E947" s="1" t="s">
        <v>120</v>
      </c>
      <c r="F947" s="1" t="s">
        <v>21</v>
      </c>
      <c r="G947" s="1" t="s">
        <v>140</v>
      </c>
      <c r="H947" s="1" t="s">
        <v>1089</v>
      </c>
      <c r="I947" s="1" t="s">
        <v>503</v>
      </c>
      <c r="J947" s="1" t="s">
        <v>125</v>
      </c>
      <c r="K947" s="1" t="s">
        <v>109</v>
      </c>
      <c r="L947" s="1">
        <v>2855847</v>
      </c>
      <c r="M947" s="1" t="s">
        <v>1115</v>
      </c>
      <c r="N947" s="5">
        <f t="shared" si="348"/>
        <v>44599</v>
      </c>
      <c r="O947" s="5">
        <f>DATE(2025,7,18)</f>
        <v>45856</v>
      </c>
      <c r="P947" s="5">
        <f t="shared" si="325"/>
        <v>46951</v>
      </c>
      <c r="Q947" s="1">
        <v>2480</v>
      </c>
      <c r="R947" s="1">
        <v>2400</v>
      </c>
      <c r="S947" s="1">
        <f t="shared" si="326"/>
        <v>2400</v>
      </c>
      <c r="T947" s="1">
        <v>2.5</v>
      </c>
      <c r="U947" s="1" t="str">
        <f t="shared" si="327"/>
        <v>SIM</v>
      </c>
      <c r="V947" s="1">
        <f t="shared" si="328"/>
        <v>1258</v>
      </c>
      <c r="W947" s="4">
        <f t="shared" si="329"/>
        <v>1.9077901430842608</v>
      </c>
      <c r="X947" s="4">
        <f t="shared" si="330"/>
        <v>696.3434022257552</v>
      </c>
      <c r="Y947" s="4">
        <f t="shared" si="331"/>
        <v>0.87042925278219396</v>
      </c>
      <c r="AB947" s="5">
        <f t="shared" si="332"/>
        <v>45292</v>
      </c>
      <c r="AC947" s="5">
        <f t="shared" si="333"/>
        <v>45657</v>
      </c>
      <c r="AD947" s="1">
        <v>9</v>
      </c>
      <c r="AE947" s="1">
        <f t="shared" si="334"/>
        <v>366</v>
      </c>
      <c r="AF947" s="1">
        <f t="shared" si="335"/>
        <v>0</v>
      </c>
      <c r="AG947" s="1">
        <f t="shared" si="336"/>
        <v>0</v>
      </c>
      <c r="AH947" s="1">
        <f t="shared" si="337"/>
        <v>0</v>
      </c>
      <c r="AI947" s="1">
        <f t="shared" si="338"/>
        <v>0</v>
      </c>
      <c r="AJ947" s="3">
        <f t="shared" si="339"/>
        <v>1</v>
      </c>
      <c r="AK947" s="3">
        <f t="shared" si="340"/>
        <v>0.87042925278219396</v>
      </c>
      <c r="AL947" s="3">
        <f t="shared" si="341"/>
        <v>7.8338632750397457</v>
      </c>
      <c r="AM947" s="3">
        <f t="shared" si="342"/>
        <v>19.584658187599363</v>
      </c>
      <c r="AN947" s="3">
        <f t="shared" si="343"/>
        <v>0</v>
      </c>
      <c r="AO947" s="3">
        <f t="shared" si="344"/>
        <v>19.584658187599363</v>
      </c>
      <c r="AP947" s="1" t="str">
        <f>INDEX({"EAD";"EAD";"EAD";"EAD MOOC";"EAD";"EAD";"EAD FP";"EAD";"PRESENCIAL";"PRESENCIAL";"PRESENCIAL";"PRESENCIAL"}, MATCH(CONCATENATE(E947, ".", F947),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48" spans="1:42" x14ac:dyDescent="0.25">
      <c r="A948" s="1" t="s">
        <v>27</v>
      </c>
      <c r="B948" s="1" t="s">
        <v>52</v>
      </c>
      <c r="C948" s="1" t="s">
        <v>29</v>
      </c>
      <c r="D948" s="1" t="s">
        <v>53</v>
      </c>
      <c r="E948" s="1" t="s">
        <v>120</v>
      </c>
      <c r="F948" s="1" t="s">
        <v>21</v>
      </c>
      <c r="G948" s="1" t="s">
        <v>121</v>
      </c>
      <c r="H948" s="1" t="s">
        <v>123</v>
      </c>
      <c r="I948" s="1" t="s">
        <v>124</v>
      </c>
      <c r="J948" s="1" t="s">
        <v>125</v>
      </c>
      <c r="K948" s="1" t="s">
        <v>109</v>
      </c>
      <c r="L948" s="1">
        <v>2855868</v>
      </c>
      <c r="M948" s="1" t="s">
        <v>1068</v>
      </c>
      <c r="N948" s="5">
        <f t="shared" si="348"/>
        <v>44599</v>
      </c>
      <c r="O948" s="5">
        <f>DATE(2025,12,31)</f>
        <v>46022</v>
      </c>
      <c r="P948" s="5">
        <f t="shared" si="325"/>
        <v>47117</v>
      </c>
      <c r="Q948" s="1">
        <v>3000</v>
      </c>
      <c r="R948" s="1">
        <v>3000</v>
      </c>
      <c r="S948" s="1">
        <f t="shared" si="326"/>
        <v>3000</v>
      </c>
      <c r="T948" s="1">
        <v>1</v>
      </c>
      <c r="U948" s="1" t="str">
        <f t="shared" si="327"/>
        <v>SIM</v>
      </c>
      <c r="V948" s="1">
        <f t="shared" si="328"/>
        <v>1424</v>
      </c>
      <c r="W948" s="4">
        <f t="shared" si="329"/>
        <v>2.106741573033708</v>
      </c>
      <c r="X948" s="4">
        <f t="shared" si="330"/>
        <v>768.9606741573034</v>
      </c>
      <c r="Y948" s="4">
        <f t="shared" si="331"/>
        <v>0.9612008426966292</v>
      </c>
      <c r="AB948" s="5">
        <f t="shared" si="332"/>
        <v>45292</v>
      </c>
      <c r="AC948" s="5">
        <f t="shared" si="333"/>
        <v>45657</v>
      </c>
      <c r="AD948" s="1">
        <v>25</v>
      </c>
      <c r="AE948" s="1">
        <f t="shared" si="334"/>
        <v>366</v>
      </c>
      <c r="AF948" s="1">
        <f t="shared" si="335"/>
        <v>0</v>
      </c>
      <c r="AG948" s="1">
        <f t="shared" si="336"/>
        <v>0</v>
      </c>
      <c r="AH948" s="1">
        <f t="shared" si="337"/>
        <v>0</v>
      </c>
      <c r="AI948" s="1">
        <f t="shared" si="338"/>
        <v>0</v>
      </c>
      <c r="AJ948" s="3">
        <f t="shared" si="339"/>
        <v>1</v>
      </c>
      <c r="AK948" s="3">
        <f t="shared" si="340"/>
        <v>0.9612008426966292</v>
      </c>
      <c r="AL948" s="3">
        <f t="shared" si="341"/>
        <v>24.030021067415731</v>
      </c>
      <c r="AM948" s="3">
        <f t="shared" si="342"/>
        <v>24.030021067415731</v>
      </c>
      <c r="AN948" s="3">
        <f t="shared" si="343"/>
        <v>0</v>
      </c>
      <c r="AO948" s="3">
        <f t="shared" si="344"/>
        <v>24.030021067415731</v>
      </c>
      <c r="AP948" s="1" t="str">
        <f>INDEX({"EAD";"EAD";"EAD";"EAD MOOC";"EAD";"EAD";"EAD FP";"EAD";"PRESENCIAL";"PRESENCIAL";"PRESENCIAL";"PRESENCIAL"}, MATCH(CONCATENATE(E948, ".", F948),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49" spans="1:42" x14ac:dyDescent="0.25">
      <c r="A949" s="1" t="s">
        <v>27</v>
      </c>
      <c r="B949" s="1" t="s">
        <v>52</v>
      </c>
      <c r="C949" s="1" t="s">
        <v>29</v>
      </c>
      <c r="D949" s="1" t="s">
        <v>53</v>
      </c>
      <c r="E949" s="1" t="s">
        <v>120</v>
      </c>
      <c r="F949" s="1" t="s">
        <v>21</v>
      </c>
      <c r="G949" s="1" t="s">
        <v>121</v>
      </c>
      <c r="H949" s="1" t="s">
        <v>1116</v>
      </c>
      <c r="I949" s="1" t="s">
        <v>209</v>
      </c>
      <c r="J949" s="1" t="s">
        <v>125</v>
      </c>
      <c r="K949" s="1" t="s">
        <v>109</v>
      </c>
      <c r="L949" s="1">
        <v>2856477</v>
      </c>
      <c r="M949" s="1" t="s">
        <v>1117</v>
      </c>
      <c r="N949" s="5">
        <f>DATE(2022,3,1)</f>
        <v>44621</v>
      </c>
      <c r="O949" s="5">
        <f>DATE(2025,12,31)</f>
        <v>46022</v>
      </c>
      <c r="P949" s="5">
        <f t="shared" si="325"/>
        <v>47117</v>
      </c>
      <c r="Q949" s="1">
        <v>3000</v>
      </c>
      <c r="R949" s="1">
        <v>3000</v>
      </c>
      <c r="S949" s="1">
        <f t="shared" si="326"/>
        <v>3000</v>
      </c>
      <c r="T949" s="1">
        <v>1.5</v>
      </c>
      <c r="U949" s="1" t="str">
        <f t="shared" si="327"/>
        <v>SIM</v>
      </c>
      <c r="V949" s="1">
        <f t="shared" si="328"/>
        <v>1402</v>
      </c>
      <c r="W949" s="4">
        <f t="shared" si="329"/>
        <v>2.1398002853067046</v>
      </c>
      <c r="X949" s="4">
        <f t="shared" si="330"/>
        <v>781.02710413694717</v>
      </c>
      <c r="Y949" s="4">
        <f t="shared" si="331"/>
        <v>0.97628388017118395</v>
      </c>
      <c r="AB949" s="5">
        <f t="shared" si="332"/>
        <v>45292</v>
      </c>
      <c r="AC949" s="5">
        <f t="shared" si="333"/>
        <v>45657</v>
      </c>
      <c r="AD949" s="1">
        <v>22</v>
      </c>
      <c r="AE949" s="1">
        <f t="shared" si="334"/>
        <v>366</v>
      </c>
      <c r="AF949" s="1">
        <f t="shared" si="335"/>
        <v>0</v>
      </c>
      <c r="AG949" s="1">
        <f t="shared" si="336"/>
        <v>0</v>
      </c>
      <c r="AH949" s="1">
        <f t="shared" si="337"/>
        <v>0</v>
      </c>
      <c r="AI949" s="1">
        <f t="shared" si="338"/>
        <v>0</v>
      </c>
      <c r="AJ949" s="3">
        <f t="shared" si="339"/>
        <v>1</v>
      </c>
      <c r="AK949" s="3">
        <f t="shared" si="340"/>
        <v>0.97628388017118395</v>
      </c>
      <c r="AL949" s="3">
        <f t="shared" si="341"/>
        <v>21.478245363766046</v>
      </c>
      <c r="AM949" s="3">
        <f t="shared" si="342"/>
        <v>32.217368045649067</v>
      </c>
      <c r="AN949" s="3">
        <f t="shared" si="343"/>
        <v>0</v>
      </c>
      <c r="AO949" s="3">
        <f t="shared" si="344"/>
        <v>32.217368045649067</v>
      </c>
      <c r="AP949" s="1" t="str">
        <f>INDEX({"EAD";"EAD";"EAD";"EAD MOOC";"EAD";"EAD";"EAD FP";"EAD";"PRESENCIAL";"PRESENCIAL";"PRESENCIAL";"PRESENCIAL"}, MATCH(CONCATENATE(E949, ".", F949),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50" spans="1:42" x14ac:dyDescent="0.25">
      <c r="A950" s="1" t="s">
        <v>27</v>
      </c>
      <c r="B950" s="1" t="s">
        <v>52</v>
      </c>
      <c r="C950" s="1" t="s">
        <v>29</v>
      </c>
      <c r="D950" s="1" t="s">
        <v>53</v>
      </c>
      <c r="E950" s="1" t="s">
        <v>120</v>
      </c>
      <c r="F950" s="1" t="s">
        <v>21</v>
      </c>
      <c r="G950" s="1" t="s">
        <v>128</v>
      </c>
      <c r="H950" s="1" t="s">
        <v>208</v>
      </c>
      <c r="I950" s="1" t="s">
        <v>209</v>
      </c>
      <c r="J950" s="1" t="s">
        <v>125</v>
      </c>
      <c r="K950" s="1" t="s">
        <v>130</v>
      </c>
      <c r="L950" s="1">
        <v>2966809</v>
      </c>
      <c r="M950" s="1" t="s">
        <v>1118</v>
      </c>
      <c r="N950" s="5">
        <f t="shared" ref="N950:N955" si="349">DATE(2023,2,6)</f>
        <v>44963</v>
      </c>
      <c r="O950" s="5">
        <f>DATE(2025,12,19)</f>
        <v>46010</v>
      </c>
      <c r="P950" s="5">
        <f t="shared" si="325"/>
        <v>47105</v>
      </c>
      <c r="Q950" s="1">
        <v>3400</v>
      </c>
      <c r="R950" s="1">
        <v>1200</v>
      </c>
      <c r="S950" s="1">
        <f t="shared" si="326"/>
        <v>3200</v>
      </c>
      <c r="T950" s="1">
        <v>1.5</v>
      </c>
      <c r="U950" s="1" t="str">
        <f t="shared" si="327"/>
        <v>SIM</v>
      </c>
      <c r="V950" s="1">
        <f t="shared" si="328"/>
        <v>1048</v>
      </c>
      <c r="W950" s="4">
        <f t="shared" si="329"/>
        <v>3.053435114503817</v>
      </c>
      <c r="X950" s="4">
        <f t="shared" si="330"/>
        <v>1114.5038167938933</v>
      </c>
      <c r="Y950" s="4">
        <f t="shared" si="331"/>
        <v>1.3931297709923667</v>
      </c>
      <c r="AB950" s="5">
        <f t="shared" si="332"/>
        <v>45292</v>
      </c>
      <c r="AC950" s="5">
        <f t="shared" si="333"/>
        <v>45657</v>
      </c>
      <c r="AD950" s="1">
        <v>58</v>
      </c>
      <c r="AE950" s="1">
        <f t="shared" si="334"/>
        <v>366</v>
      </c>
      <c r="AF950" s="1">
        <f t="shared" si="335"/>
        <v>0</v>
      </c>
      <c r="AG950" s="1">
        <f t="shared" si="336"/>
        <v>0</v>
      </c>
      <c r="AH950" s="1">
        <f t="shared" si="337"/>
        <v>0</v>
      </c>
      <c r="AI950" s="1">
        <f t="shared" si="338"/>
        <v>0</v>
      </c>
      <c r="AJ950" s="3">
        <f t="shared" si="339"/>
        <v>1</v>
      </c>
      <c r="AK950" s="3">
        <f t="shared" si="340"/>
        <v>1.3931297709923667</v>
      </c>
      <c r="AL950" s="3">
        <f t="shared" si="341"/>
        <v>80.801526717557266</v>
      </c>
      <c r="AM950" s="3">
        <f t="shared" si="342"/>
        <v>121.2022900763359</v>
      </c>
      <c r="AN950" s="3">
        <f t="shared" si="343"/>
        <v>0</v>
      </c>
      <c r="AO950" s="3">
        <f t="shared" si="344"/>
        <v>121.2022900763359</v>
      </c>
      <c r="AP950" s="1" t="str">
        <f>INDEX({"EAD";"EAD";"EAD";"EAD MOOC";"EAD";"EAD";"EAD FP";"EAD";"PRESENCIAL";"PRESENCIAL";"PRESENCIAL";"PRESENCIAL"}, MATCH(CONCATENATE(E950, ".", F950),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51" spans="1:42" x14ac:dyDescent="0.25">
      <c r="A951" s="1" t="s">
        <v>27</v>
      </c>
      <c r="B951" s="1" t="s">
        <v>52</v>
      </c>
      <c r="C951" s="1" t="s">
        <v>29</v>
      </c>
      <c r="D951" s="1" t="s">
        <v>53</v>
      </c>
      <c r="E951" s="1" t="s">
        <v>120</v>
      </c>
      <c r="F951" s="1" t="s">
        <v>21</v>
      </c>
      <c r="G951" s="1" t="s">
        <v>128</v>
      </c>
      <c r="H951" s="1" t="s">
        <v>223</v>
      </c>
      <c r="I951" s="1" t="s">
        <v>224</v>
      </c>
      <c r="J951" s="1" t="s">
        <v>125</v>
      </c>
      <c r="K951" s="1" t="s">
        <v>130</v>
      </c>
      <c r="L951" s="1">
        <v>2966823</v>
      </c>
      <c r="M951" s="1" t="s">
        <v>1119</v>
      </c>
      <c r="N951" s="5">
        <f t="shared" si="349"/>
        <v>44963</v>
      </c>
      <c r="O951" s="5">
        <f>DATE(2025,12,19)</f>
        <v>46010</v>
      </c>
      <c r="P951" s="5">
        <f t="shared" si="325"/>
        <v>47105</v>
      </c>
      <c r="Q951" s="1">
        <v>3196</v>
      </c>
      <c r="R951" s="1">
        <v>1200</v>
      </c>
      <c r="S951" s="1">
        <f t="shared" si="326"/>
        <v>3200</v>
      </c>
      <c r="T951" s="1">
        <v>2.5</v>
      </c>
      <c r="U951" s="1" t="str">
        <f t="shared" si="327"/>
        <v>SIM</v>
      </c>
      <c r="V951" s="1">
        <f t="shared" si="328"/>
        <v>1048</v>
      </c>
      <c r="W951" s="4">
        <f t="shared" si="329"/>
        <v>3.0496183206106871</v>
      </c>
      <c r="X951" s="4">
        <f t="shared" si="330"/>
        <v>1113.1106870229007</v>
      </c>
      <c r="Y951" s="4">
        <f t="shared" si="331"/>
        <v>1.391388358778626</v>
      </c>
      <c r="AB951" s="5">
        <f t="shared" si="332"/>
        <v>45292</v>
      </c>
      <c r="AC951" s="5">
        <f t="shared" si="333"/>
        <v>45657</v>
      </c>
      <c r="AD951" s="1">
        <v>58</v>
      </c>
      <c r="AE951" s="1">
        <f t="shared" si="334"/>
        <v>366</v>
      </c>
      <c r="AF951" s="1">
        <f t="shared" si="335"/>
        <v>0</v>
      </c>
      <c r="AG951" s="1">
        <f t="shared" si="336"/>
        <v>0</v>
      </c>
      <c r="AH951" s="1">
        <f t="shared" si="337"/>
        <v>0</v>
      </c>
      <c r="AI951" s="1">
        <f t="shared" si="338"/>
        <v>0</v>
      </c>
      <c r="AJ951" s="3">
        <f t="shared" si="339"/>
        <v>1</v>
      </c>
      <c r="AK951" s="3">
        <f t="shared" si="340"/>
        <v>1.391388358778626</v>
      </c>
      <c r="AL951" s="3">
        <f t="shared" si="341"/>
        <v>80.700524809160314</v>
      </c>
      <c r="AM951" s="3">
        <f t="shared" si="342"/>
        <v>201.75131202290078</v>
      </c>
      <c r="AN951" s="3">
        <f t="shared" si="343"/>
        <v>0</v>
      </c>
      <c r="AO951" s="3">
        <f t="shared" si="344"/>
        <v>201.75131202290078</v>
      </c>
      <c r="AP951" s="1" t="str">
        <f>INDEX({"EAD";"EAD";"EAD";"EAD MOOC";"EAD";"EAD";"EAD FP";"EAD";"PRESENCIAL";"PRESENCIAL";"PRESENCIAL";"PRESENCIAL"}, MATCH(CONCATENATE(E951, ".", F951),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52" spans="1:42" x14ac:dyDescent="0.25">
      <c r="A952" s="1" t="s">
        <v>27</v>
      </c>
      <c r="B952" s="1" t="s">
        <v>52</v>
      </c>
      <c r="C952" s="1" t="s">
        <v>29</v>
      </c>
      <c r="D952" s="1" t="s">
        <v>53</v>
      </c>
      <c r="E952" s="1" t="s">
        <v>120</v>
      </c>
      <c r="F952" s="1" t="s">
        <v>21</v>
      </c>
      <c r="G952" s="1" t="s">
        <v>128</v>
      </c>
      <c r="H952" s="1" t="s">
        <v>129</v>
      </c>
      <c r="I952" s="1" t="s">
        <v>124</v>
      </c>
      <c r="J952" s="1" t="s">
        <v>125</v>
      </c>
      <c r="K952" s="1" t="s">
        <v>130</v>
      </c>
      <c r="L952" s="1">
        <v>2966832</v>
      </c>
      <c r="M952" s="1" t="s">
        <v>1120</v>
      </c>
      <c r="N952" s="5">
        <f t="shared" si="349"/>
        <v>44963</v>
      </c>
      <c r="O952" s="5">
        <f>DATE(2025,12,19)</f>
        <v>46010</v>
      </c>
      <c r="P952" s="5">
        <f t="shared" si="325"/>
        <v>47105</v>
      </c>
      <c r="Q952" s="1">
        <v>3264</v>
      </c>
      <c r="R952" s="1">
        <v>800</v>
      </c>
      <c r="S952" s="1">
        <f t="shared" si="326"/>
        <v>3000</v>
      </c>
      <c r="T952" s="1">
        <v>1.5</v>
      </c>
      <c r="U952" s="1" t="str">
        <f t="shared" si="327"/>
        <v>SIM</v>
      </c>
      <c r="V952" s="1">
        <f t="shared" si="328"/>
        <v>1048</v>
      </c>
      <c r="W952" s="4">
        <f t="shared" si="329"/>
        <v>2.8625954198473282</v>
      </c>
      <c r="X952" s="4">
        <f t="shared" si="330"/>
        <v>1044.8473282442749</v>
      </c>
      <c r="Y952" s="4">
        <f t="shared" si="331"/>
        <v>1.3060591603053435</v>
      </c>
      <c r="AB952" s="5">
        <f t="shared" si="332"/>
        <v>45292</v>
      </c>
      <c r="AC952" s="5">
        <f t="shared" si="333"/>
        <v>45657</v>
      </c>
      <c r="AD952" s="1">
        <v>61</v>
      </c>
      <c r="AE952" s="1">
        <f t="shared" si="334"/>
        <v>366</v>
      </c>
      <c r="AF952" s="1">
        <f t="shared" si="335"/>
        <v>0</v>
      </c>
      <c r="AG952" s="1">
        <f t="shared" si="336"/>
        <v>0</v>
      </c>
      <c r="AH952" s="1">
        <f t="shared" si="337"/>
        <v>0</v>
      </c>
      <c r="AI952" s="1">
        <f t="shared" si="338"/>
        <v>0</v>
      </c>
      <c r="AJ952" s="3">
        <f t="shared" si="339"/>
        <v>1</v>
      </c>
      <c r="AK952" s="3">
        <f t="shared" si="340"/>
        <v>1.3060591603053435</v>
      </c>
      <c r="AL952" s="3">
        <f t="shared" si="341"/>
        <v>79.669608778625957</v>
      </c>
      <c r="AM952" s="3">
        <f t="shared" si="342"/>
        <v>119.50441316793894</v>
      </c>
      <c r="AN952" s="3">
        <f t="shared" si="343"/>
        <v>0</v>
      </c>
      <c r="AO952" s="3">
        <f t="shared" si="344"/>
        <v>119.50441316793894</v>
      </c>
      <c r="AP952" s="1" t="str">
        <f>INDEX({"EAD";"EAD";"EAD";"EAD MOOC";"EAD";"EAD";"EAD FP";"EAD";"PRESENCIAL";"PRESENCIAL";"PRESENCIAL";"PRESENCIAL"}, MATCH(CONCATENATE(E952, ".", F952),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53" spans="1:42" x14ac:dyDescent="0.25">
      <c r="A953" s="1" t="s">
        <v>27</v>
      </c>
      <c r="B953" s="1" t="s">
        <v>52</v>
      </c>
      <c r="C953" s="1" t="s">
        <v>29</v>
      </c>
      <c r="D953" s="1" t="s">
        <v>53</v>
      </c>
      <c r="E953" s="1" t="s">
        <v>120</v>
      </c>
      <c r="F953" s="1" t="s">
        <v>21</v>
      </c>
      <c r="G953" s="1" t="s">
        <v>121</v>
      </c>
      <c r="H953" s="1" t="s">
        <v>1116</v>
      </c>
      <c r="I953" s="1" t="s">
        <v>209</v>
      </c>
      <c r="J953" s="1" t="s">
        <v>125</v>
      </c>
      <c r="K953" s="1" t="s">
        <v>109</v>
      </c>
      <c r="L953" s="1">
        <v>2971264</v>
      </c>
      <c r="M953" s="1" t="s">
        <v>1121</v>
      </c>
      <c r="N953" s="5">
        <f t="shared" si="349"/>
        <v>44963</v>
      </c>
      <c r="O953" s="5">
        <f>DATE(2026,12,31)</f>
        <v>46387</v>
      </c>
      <c r="P953" s="5">
        <f t="shared" si="325"/>
        <v>47482</v>
      </c>
      <c r="Q953" s="1">
        <v>3000</v>
      </c>
      <c r="R953" s="1">
        <v>3000</v>
      </c>
      <c r="S953" s="1">
        <f t="shared" si="326"/>
        <v>3000</v>
      </c>
      <c r="T953" s="1">
        <v>1.5</v>
      </c>
      <c r="U953" s="1" t="str">
        <f t="shared" si="327"/>
        <v>SIM</v>
      </c>
      <c r="V953" s="1">
        <f t="shared" si="328"/>
        <v>1425</v>
      </c>
      <c r="W953" s="4">
        <f t="shared" si="329"/>
        <v>2.1052631578947367</v>
      </c>
      <c r="X953" s="4">
        <f t="shared" si="330"/>
        <v>768.42105263157896</v>
      </c>
      <c r="Y953" s="4">
        <f t="shared" si="331"/>
        <v>0.96052631578947367</v>
      </c>
      <c r="AB953" s="5">
        <f t="shared" si="332"/>
        <v>45292</v>
      </c>
      <c r="AC953" s="5">
        <f t="shared" si="333"/>
        <v>45657</v>
      </c>
      <c r="AD953" s="1">
        <v>21</v>
      </c>
      <c r="AE953" s="1">
        <f t="shared" si="334"/>
        <v>366</v>
      </c>
      <c r="AF953" s="1">
        <f t="shared" si="335"/>
        <v>0</v>
      </c>
      <c r="AG953" s="1">
        <f t="shared" si="336"/>
        <v>0</v>
      </c>
      <c r="AH953" s="1">
        <f t="shared" si="337"/>
        <v>0</v>
      </c>
      <c r="AI953" s="1">
        <f t="shared" si="338"/>
        <v>0</v>
      </c>
      <c r="AJ953" s="3">
        <f t="shared" si="339"/>
        <v>1</v>
      </c>
      <c r="AK953" s="3">
        <f t="shared" si="340"/>
        <v>0.96052631578947367</v>
      </c>
      <c r="AL953" s="3">
        <f t="shared" si="341"/>
        <v>20.171052631578949</v>
      </c>
      <c r="AM953" s="3">
        <f t="shared" si="342"/>
        <v>30.256578947368425</v>
      </c>
      <c r="AN953" s="3">
        <f t="shared" si="343"/>
        <v>0</v>
      </c>
      <c r="AO953" s="3">
        <f t="shared" si="344"/>
        <v>30.256578947368425</v>
      </c>
      <c r="AP953" s="1" t="str">
        <f>INDEX({"EAD";"EAD";"EAD";"EAD MOOC";"EAD";"EAD";"EAD FP";"EAD";"PRESENCIAL";"PRESENCIAL";"PRESENCIAL";"PRESENCIAL"}, MATCH(CONCATENATE(E953, ".", F953),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54" spans="1:42" x14ac:dyDescent="0.25">
      <c r="A954" s="1" t="s">
        <v>27</v>
      </c>
      <c r="B954" s="1" t="s">
        <v>52</v>
      </c>
      <c r="C954" s="1" t="s">
        <v>29</v>
      </c>
      <c r="D954" s="1" t="s">
        <v>53</v>
      </c>
      <c r="E954" s="1" t="s">
        <v>120</v>
      </c>
      <c r="F954" s="1" t="s">
        <v>21</v>
      </c>
      <c r="G954" s="1" t="s">
        <v>121</v>
      </c>
      <c r="H954" s="1" t="s">
        <v>123</v>
      </c>
      <c r="I954" s="1" t="s">
        <v>124</v>
      </c>
      <c r="J954" s="1" t="s">
        <v>125</v>
      </c>
      <c r="K954" s="1" t="s">
        <v>109</v>
      </c>
      <c r="L954" s="1">
        <v>2971265</v>
      </c>
      <c r="M954" s="1" t="s">
        <v>1122</v>
      </c>
      <c r="N954" s="5">
        <f t="shared" si="349"/>
        <v>44963</v>
      </c>
      <c r="O954" s="5">
        <f>DATE(2026,12,31)</f>
        <v>46387</v>
      </c>
      <c r="P954" s="5">
        <f t="shared" si="325"/>
        <v>47482</v>
      </c>
      <c r="Q954" s="1">
        <v>3000</v>
      </c>
      <c r="R954" s="1">
        <v>3000</v>
      </c>
      <c r="S954" s="1">
        <f t="shared" si="326"/>
        <v>3000</v>
      </c>
      <c r="T954" s="1">
        <v>1</v>
      </c>
      <c r="U954" s="1" t="str">
        <f t="shared" si="327"/>
        <v>SIM</v>
      </c>
      <c r="V954" s="1">
        <f t="shared" si="328"/>
        <v>1425</v>
      </c>
      <c r="W954" s="4">
        <f t="shared" si="329"/>
        <v>2.1052631578947367</v>
      </c>
      <c r="X954" s="4">
        <f t="shared" si="330"/>
        <v>768.42105263157896</v>
      </c>
      <c r="Y954" s="4">
        <f t="shared" si="331"/>
        <v>0.96052631578947367</v>
      </c>
      <c r="AB954" s="5">
        <f t="shared" si="332"/>
        <v>45292</v>
      </c>
      <c r="AC954" s="5">
        <f t="shared" si="333"/>
        <v>45657</v>
      </c>
      <c r="AD954" s="1">
        <v>31</v>
      </c>
      <c r="AE954" s="1">
        <f t="shared" si="334"/>
        <v>366</v>
      </c>
      <c r="AF954" s="1">
        <f t="shared" si="335"/>
        <v>0</v>
      </c>
      <c r="AG954" s="1">
        <f t="shared" si="336"/>
        <v>0</v>
      </c>
      <c r="AH954" s="1">
        <f t="shared" si="337"/>
        <v>0</v>
      </c>
      <c r="AI954" s="1">
        <f t="shared" si="338"/>
        <v>0</v>
      </c>
      <c r="AJ954" s="3">
        <f t="shared" si="339"/>
        <v>1</v>
      </c>
      <c r="AK954" s="3">
        <f t="shared" si="340"/>
        <v>0.96052631578947367</v>
      </c>
      <c r="AL954" s="3">
        <f t="shared" si="341"/>
        <v>29.776315789473685</v>
      </c>
      <c r="AM954" s="3">
        <f t="shared" si="342"/>
        <v>29.776315789473685</v>
      </c>
      <c r="AN954" s="3">
        <f t="shared" si="343"/>
        <v>0</v>
      </c>
      <c r="AO954" s="3">
        <f t="shared" si="344"/>
        <v>29.776315789473685</v>
      </c>
      <c r="AP954" s="1" t="str">
        <f>INDEX({"EAD";"EAD";"EAD";"EAD MOOC";"EAD";"EAD";"EAD FP";"EAD";"PRESENCIAL";"PRESENCIAL";"PRESENCIAL";"PRESENCIAL"}, MATCH(CONCATENATE(E954, ".", F954),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55" spans="1:42" x14ac:dyDescent="0.25">
      <c r="A955" s="1" t="s">
        <v>27</v>
      </c>
      <c r="B955" s="1" t="s">
        <v>52</v>
      </c>
      <c r="C955" s="1" t="s">
        <v>29</v>
      </c>
      <c r="D955" s="1" t="s">
        <v>53</v>
      </c>
      <c r="E955" s="1" t="s">
        <v>120</v>
      </c>
      <c r="F955" s="1" t="s">
        <v>21</v>
      </c>
      <c r="G955" s="1" t="s">
        <v>121</v>
      </c>
      <c r="H955" s="1" t="s">
        <v>662</v>
      </c>
      <c r="I955" s="1" t="s">
        <v>503</v>
      </c>
      <c r="J955" s="1" t="s">
        <v>125</v>
      </c>
      <c r="K955" s="1" t="s">
        <v>109</v>
      </c>
      <c r="L955" s="1">
        <v>2971268</v>
      </c>
      <c r="M955" s="1" t="s">
        <v>1123</v>
      </c>
      <c r="N955" s="5">
        <f t="shared" si="349"/>
        <v>44963</v>
      </c>
      <c r="O955" s="5">
        <f>DATE(2027,12,31)</f>
        <v>46752</v>
      </c>
      <c r="P955" s="5">
        <f t="shared" si="325"/>
        <v>47847</v>
      </c>
      <c r="Q955" s="1">
        <v>3666</v>
      </c>
      <c r="R955" s="1">
        <v>3600</v>
      </c>
      <c r="S955" s="1">
        <f t="shared" si="326"/>
        <v>3600</v>
      </c>
      <c r="T955" s="1">
        <v>2.5</v>
      </c>
      <c r="U955" s="1" t="str">
        <f t="shared" si="327"/>
        <v>SIM</v>
      </c>
      <c r="V955" s="1">
        <f t="shared" si="328"/>
        <v>1790</v>
      </c>
      <c r="W955" s="4">
        <f t="shared" si="329"/>
        <v>2.011173184357542</v>
      </c>
      <c r="X955" s="4">
        <f t="shared" si="330"/>
        <v>734.07821229050285</v>
      </c>
      <c r="Y955" s="4">
        <f t="shared" si="331"/>
        <v>0.91759776536312854</v>
      </c>
      <c r="AB955" s="5">
        <f t="shared" si="332"/>
        <v>45292</v>
      </c>
      <c r="AC955" s="5">
        <f t="shared" si="333"/>
        <v>45657</v>
      </c>
      <c r="AD955" s="1">
        <v>26</v>
      </c>
      <c r="AE955" s="1">
        <f t="shared" si="334"/>
        <v>366</v>
      </c>
      <c r="AF955" s="1">
        <f t="shared" si="335"/>
        <v>0</v>
      </c>
      <c r="AG955" s="1">
        <f t="shared" si="336"/>
        <v>0</v>
      </c>
      <c r="AH955" s="1">
        <f t="shared" si="337"/>
        <v>0</v>
      </c>
      <c r="AI955" s="1">
        <f t="shared" si="338"/>
        <v>0</v>
      </c>
      <c r="AJ955" s="3">
        <f t="shared" si="339"/>
        <v>1</v>
      </c>
      <c r="AK955" s="3">
        <f t="shared" si="340"/>
        <v>0.91759776536312854</v>
      </c>
      <c r="AL955" s="3">
        <f t="shared" si="341"/>
        <v>23.85754189944134</v>
      </c>
      <c r="AM955" s="3">
        <f t="shared" si="342"/>
        <v>59.643854748603353</v>
      </c>
      <c r="AN955" s="3">
        <f t="shared" si="343"/>
        <v>0</v>
      </c>
      <c r="AO955" s="3">
        <f t="shared" si="344"/>
        <v>59.643854748603353</v>
      </c>
      <c r="AP955" s="1" t="str">
        <f>INDEX({"EAD";"EAD";"EAD";"EAD MOOC";"EAD";"EAD";"EAD FP";"EAD";"PRESENCIAL";"PRESENCIAL";"PRESENCIAL";"PRESENCIAL"}, MATCH(CONCATENATE(E955, ".", F955),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56" spans="1:42" x14ac:dyDescent="0.25">
      <c r="A956" s="1" t="s">
        <v>27</v>
      </c>
      <c r="B956" s="1" t="s">
        <v>52</v>
      </c>
      <c r="C956" s="1" t="s">
        <v>29</v>
      </c>
      <c r="D956" s="1" t="s">
        <v>53</v>
      </c>
      <c r="E956" s="1" t="s">
        <v>170</v>
      </c>
      <c r="F956" s="1" t="s">
        <v>21</v>
      </c>
      <c r="G956" s="1" t="s">
        <v>128</v>
      </c>
      <c r="H956" s="1" t="s">
        <v>174</v>
      </c>
      <c r="I956" s="1" t="s">
        <v>172</v>
      </c>
      <c r="J956" s="1" t="s">
        <v>125</v>
      </c>
      <c r="K956" s="1" t="s">
        <v>163</v>
      </c>
      <c r="L956" s="1">
        <v>2985807</v>
      </c>
      <c r="M956" s="1" t="s">
        <v>1124</v>
      </c>
      <c r="N956" s="5">
        <f>DATE(2023,4,1)</f>
        <v>45017</v>
      </c>
      <c r="O956" s="5">
        <f>DATE(2024,10,31)</f>
        <v>45596</v>
      </c>
      <c r="P956" s="5">
        <f t="shared" si="325"/>
        <v>46691</v>
      </c>
      <c r="Q956" s="1">
        <v>1200</v>
      </c>
      <c r="R956" s="1">
        <v>1200</v>
      </c>
      <c r="S956" s="1">
        <f t="shared" si="326"/>
        <v>1200</v>
      </c>
      <c r="T956" s="1">
        <v>1</v>
      </c>
      <c r="U956" s="1" t="str">
        <f t="shared" si="327"/>
        <v>SIM</v>
      </c>
      <c r="V956" s="1">
        <f t="shared" si="328"/>
        <v>580</v>
      </c>
      <c r="W956" s="4">
        <f t="shared" si="329"/>
        <v>2.0689655172413794</v>
      </c>
      <c r="X956" s="4">
        <f t="shared" si="330"/>
        <v>755.17241379310349</v>
      </c>
      <c r="Y956" s="4">
        <f t="shared" si="331"/>
        <v>0.94396551724137934</v>
      </c>
      <c r="AB956" s="5">
        <f t="shared" si="332"/>
        <v>45292</v>
      </c>
      <c r="AC956" s="5">
        <f t="shared" si="333"/>
        <v>45657</v>
      </c>
      <c r="AD956" s="1">
        <v>50</v>
      </c>
      <c r="AE956" s="1">
        <f t="shared" si="334"/>
        <v>0</v>
      </c>
      <c r="AF956" s="1">
        <f t="shared" si="335"/>
        <v>0</v>
      </c>
      <c r="AG956" s="1">
        <f t="shared" si="336"/>
        <v>305</v>
      </c>
      <c r="AH956" s="1">
        <f t="shared" si="337"/>
        <v>0</v>
      </c>
      <c r="AI956" s="1">
        <f t="shared" si="338"/>
        <v>0</v>
      </c>
      <c r="AJ956" s="3">
        <f t="shared" si="339"/>
        <v>0.83333333333333337</v>
      </c>
      <c r="AK956" s="3">
        <f t="shared" si="340"/>
        <v>0.78663793103448276</v>
      </c>
      <c r="AL956" s="3">
        <f t="shared" si="341"/>
        <v>39.331896551724135</v>
      </c>
      <c r="AM956" s="3">
        <f t="shared" si="342"/>
        <v>39.331896551724135</v>
      </c>
      <c r="AN956" s="3">
        <f t="shared" si="343"/>
        <v>0</v>
      </c>
      <c r="AO956" s="3">
        <f t="shared" si="344"/>
        <v>39.331896551724135</v>
      </c>
      <c r="AP956" s="1" t="str">
        <f>INDEX({"EAD";"EAD";"EAD";"EAD MOOC";"EAD";"EAD";"EAD FP";"EAD";"PRESENCIAL";"PRESENCIAL";"PRESENCIAL";"PRESENCIAL"}, MATCH(CONCATENATE(E956, ".", F956),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957" spans="1:42" x14ac:dyDescent="0.25">
      <c r="A957" s="1" t="s">
        <v>27</v>
      </c>
      <c r="B957" s="1" t="s">
        <v>52</v>
      </c>
      <c r="C957" s="1" t="s">
        <v>29</v>
      </c>
      <c r="D957" s="1" t="s">
        <v>53</v>
      </c>
      <c r="E957" s="1" t="s">
        <v>170</v>
      </c>
      <c r="F957" s="1" t="s">
        <v>21</v>
      </c>
      <c r="G957" s="1" t="s">
        <v>128</v>
      </c>
      <c r="H957" s="1" t="s">
        <v>171</v>
      </c>
      <c r="I957" s="1" t="s">
        <v>172</v>
      </c>
      <c r="J957" s="1" t="s">
        <v>125</v>
      </c>
      <c r="K957" s="1" t="s">
        <v>163</v>
      </c>
      <c r="L957" s="1">
        <v>2985817</v>
      </c>
      <c r="M957" s="1" t="s">
        <v>1125</v>
      </c>
      <c r="N957" s="5">
        <f>DATE(2023,4,1)</f>
        <v>45017</v>
      </c>
      <c r="O957" s="5">
        <f>DATE(2024,10,31)</f>
        <v>45596</v>
      </c>
      <c r="P957" s="5">
        <f t="shared" si="325"/>
        <v>46691</v>
      </c>
      <c r="Q957" s="1">
        <v>1200</v>
      </c>
      <c r="R957" s="1">
        <v>1200</v>
      </c>
      <c r="S957" s="1">
        <f t="shared" si="326"/>
        <v>1200</v>
      </c>
      <c r="T957" s="1">
        <v>2</v>
      </c>
      <c r="U957" s="1" t="str">
        <f t="shared" si="327"/>
        <v>SIM</v>
      </c>
      <c r="V957" s="1">
        <f t="shared" si="328"/>
        <v>580</v>
      </c>
      <c r="W957" s="4">
        <f t="shared" si="329"/>
        <v>2.0689655172413794</v>
      </c>
      <c r="X957" s="4">
        <f t="shared" si="330"/>
        <v>755.17241379310349</v>
      </c>
      <c r="Y957" s="4">
        <f t="shared" si="331"/>
        <v>0.94396551724137934</v>
      </c>
      <c r="AB957" s="5">
        <f t="shared" si="332"/>
        <v>45292</v>
      </c>
      <c r="AC957" s="5">
        <f t="shared" si="333"/>
        <v>45657</v>
      </c>
      <c r="AD957" s="1">
        <v>23</v>
      </c>
      <c r="AE957" s="1">
        <f t="shared" si="334"/>
        <v>0</v>
      </c>
      <c r="AF957" s="1">
        <f t="shared" si="335"/>
        <v>0</v>
      </c>
      <c r="AG957" s="1">
        <f t="shared" si="336"/>
        <v>305</v>
      </c>
      <c r="AH957" s="1">
        <f t="shared" si="337"/>
        <v>0</v>
      </c>
      <c r="AI957" s="1">
        <f t="shared" si="338"/>
        <v>0</v>
      </c>
      <c r="AJ957" s="3">
        <f t="shared" si="339"/>
        <v>0.83333333333333337</v>
      </c>
      <c r="AK957" s="3">
        <f t="shared" si="340"/>
        <v>0.78663793103448276</v>
      </c>
      <c r="AL957" s="3">
        <f t="shared" si="341"/>
        <v>18.092672413793103</v>
      </c>
      <c r="AM957" s="3">
        <f t="shared" si="342"/>
        <v>36.185344827586206</v>
      </c>
      <c r="AN957" s="3">
        <f t="shared" si="343"/>
        <v>0</v>
      </c>
      <c r="AO957" s="3">
        <f t="shared" si="344"/>
        <v>36.185344827586206</v>
      </c>
      <c r="AP957" s="1" t="str">
        <f>INDEX({"EAD";"EAD";"EAD";"EAD MOOC";"EAD";"EAD";"EAD FP";"EAD";"PRESENCIAL";"PRESENCIAL";"PRESENCIAL";"PRESENCIAL"}, MATCH(CONCATENATE(E957, ".", F957),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958" spans="1:42" x14ac:dyDescent="0.25">
      <c r="A958" s="1" t="s">
        <v>27</v>
      </c>
      <c r="B958" s="1" t="s">
        <v>52</v>
      </c>
      <c r="C958" s="1" t="s">
        <v>29</v>
      </c>
      <c r="D958" s="1" t="s">
        <v>53</v>
      </c>
      <c r="E958" s="1" t="s">
        <v>170</v>
      </c>
      <c r="F958" s="1" t="s">
        <v>21</v>
      </c>
      <c r="G958" s="1" t="s">
        <v>128</v>
      </c>
      <c r="H958" s="1" t="s">
        <v>176</v>
      </c>
      <c r="I958" s="1" t="s">
        <v>172</v>
      </c>
      <c r="J958" s="1" t="s">
        <v>125</v>
      </c>
      <c r="K958" s="1" t="s">
        <v>163</v>
      </c>
      <c r="L958" s="1">
        <v>2985820</v>
      </c>
      <c r="M958" s="1" t="s">
        <v>1126</v>
      </c>
      <c r="N958" s="5">
        <f>DATE(2023,4,1)</f>
        <v>45017</v>
      </c>
      <c r="O958" s="5">
        <f>DATE(2024,10,31)</f>
        <v>45596</v>
      </c>
      <c r="P958" s="5">
        <f t="shared" si="325"/>
        <v>46691</v>
      </c>
      <c r="Q958" s="1">
        <v>1200</v>
      </c>
      <c r="R958" s="1">
        <v>800</v>
      </c>
      <c r="S958" s="1">
        <f t="shared" si="326"/>
        <v>800</v>
      </c>
      <c r="T958" s="1">
        <v>1.5</v>
      </c>
      <c r="U958" s="1" t="str">
        <f t="shared" si="327"/>
        <v>SIM</v>
      </c>
      <c r="V958" s="1">
        <f t="shared" si="328"/>
        <v>580</v>
      </c>
      <c r="W958" s="4">
        <f t="shared" si="329"/>
        <v>1.3793103448275863</v>
      </c>
      <c r="X958" s="4">
        <f t="shared" si="330"/>
        <v>503.44827586206901</v>
      </c>
      <c r="Y958" s="4">
        <f t="shared" si="331"/>
        <v>0.6293103448275863</v>
      </c>
      <c r="AB958" s="5">
        <f t="shared" si="332"/>
        <v>45292</v>
      </c>
      <c r="AC958" s="5">
        <f t="shared" si="333"/>
        <v>45657</v>
      </c>
      <c r="AD958" s="1">
        <v>15</v>
      </c>
      <c r="AE958" s="1">
        <f t="shared" si="334"/>
        <v>0</v>
      </c>
      <c r="AF958" s="1">
        <f t="shared" si="335"/>
        <v>0</v>
      </c>
      <c r="AG958" s="1">
        <f t="shared" si="336"/>
        <v>305</v>
      </c>
      <c r="AH958" s="1">
        <f t="shared" si="337"/>
        <v>0</v>
      </c>
      <c r="AI958" s="1">
        <f t="shared" si="338"/>
        <v>0</v>
      </c>
      <c r="AJ958" s="3">
        <f t="shared" si="339"/>
        <v>0.83333333333333337</v>
      </c>
      <c r="AK958" s="3">
        <f t="shared" si="340"/>
        <v>0.52442528735632199</v>
      </c>
      <c r="AL958" s="3">
        <f t="shared" si="341"/>
        <v>7.8663793103448301</v>
      </c>
      <c r="AM958" s="3">
        <f t="shared" si="342"/>
        <v>11.799568965517246</v>
      </c>
      <c r="AN958" s="3">
        <f t="shared" si="343"/>
        <v>0</v>
      </c>
      <c r="AO958" s="3">
        <f t="shared" si="344"/>
        <v>11.799568965517246</v>
      </c>
      <c r="AP958" s="1" t="str">
        <f>INDEX({"EAD";"EAD";"EAD";"EAD MOOC";"EAD";"EAD";"EAD FP";"EAD";"PRESENCIAL";"PRESENCIAL";"PRESENCIAL";"PRESENCIAL"}, MATCH(CONCATENATE(E958, ".", F958),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959" spans="1:42" x14ac:dyDescent="0.25">
      <c r="A959" s="1" t="s">
        <v>27</v>
      </c>
      <c r="B959" s="1" t="s">
        <v>52</v>
      </c>
      <c r="C959" s="1" t="s">
        <v>29</v>
      </c>
      <c r="D959" s="1" t="s">
        <v>53</v>
      </c>
      <c r="E959" s="1" t="s">
        <v>120</v>
      </c>
      <c r="F959" s="1" t="s">
        <v>447</v>
      </c>
      <c r="G959" s="1" t="s">
        <v>128</v>
      </c>
      <c r="H959" s="1" t="s">
        <v>129</v>
      </c>
      <c r="I959" s="1" t="s">
        <v>124</v>
      </c>
      <c r="J959" s="1" t="s">
        <v>125</v>
      </c>
      <c r="K959" s="1" t="s">
        <v>259</v>
      </c>
      <c r="L959" s="1">
        <v>3047699</v>
      </c>
      <c r="M959" s="1" t="s">
        <v>1127</v>
      </c>
      <c r="N959" s="5">
        <f>DATE(2023,9,1)</f>
        <v>45170</v>
      </c>
      <c r="O959" s="5">
        <f>DATE(2025,12,31)</f>
        <v>46022</v>
      </c>
      <c r="P959" s="5">
        <f t="shared" si="325"/>
        <v>47117</v>
      </c>
      <c r="Q959" s="1">
        <v>1080</v>
      </c>
      <c r="R959" s="1">
        <v>800</v>
      </c>
      <c r="S959" s="1">
        <f t="shared" si="326"/>
        <v>800</v>
      </c>
      <c r="T959" s="1">
        <v>1</v>
      </c>
      <c r="U959" s="1" t="str">
        <f t="shared" si="327"/>
        <v>SIM</v>
      </c>
      <c r="V959" s="1">
        <f t="shared" si="328"/>
        <v>853</v>
      </c>
      <c r="W959" s="4">
        <f t="shared" si="329"/>
        <v>0.93786635404454866</v>
      </c>
      <c r="X959" s="4">
        <f t="shared" si="330"/>
        <v>342.32121922626027</v>
      </c>
      <c r="Y959" s="4">
        <f t="shared" si="331"/>
        <v>0.42790152403282533</v>
      </c>
      <c r="AB959" s="5">
        <f t="shared" si="332"/>
        <v>45292</v>
      </c>
      <c r="AC959" s="5">
        <f t="shared" si="333"/>
        <v>45657</v>
      </c>
      <c r="AD959" s="1">
        <v>25</v>
      </c>
      <c r="AE959" s="1">
        <f t="shared" si="334"/>
        <v>366</v>
      </c>
      <c r="AF959" s="1">
        <f t="shared" si="335"/>
        <v>0</v>
      </c>
      <c r="AG959" s="1">
        <f t="shared" si="336"/>
        <v>0</v>
      </c>
      <c r="AH959" s="1">
        <f t="shared" si="337"/>
        <v>0</v>
      </c>
      <c r="AI959" s="1">
        <f t="shared" si="338"/>
        <v>0</v>
      </c>
      <c r="AJ959" s="3">
        <f t="shared" si="339"/>
        <v>1</v>
      </c>
      <c r="AK959" s="3">
        <f t="shared" si="340"/>
        <v>0.42790152403282533</v>
      </c>
      <c r="AL959" s="3">
        <f t="shared" si="341"/>
        <v>10.697538100820633</v>
      </c>
      <c r="AM959" s="3">
        <f t="shared" si="342"/>
        <v>10.697538100820633</v>
      </c>
      <c r="AN959" s="3">
        <f t="shared" si="343"/>
        <v>0</v>
      </c>
      <c r="AO959" s="3">
        <f t="shared" si="344"/>
        <v>10.697538100820633</v>
      </c>
      <c r="AP959" s="1" t="str">
        <f>INDEX({"EAD";"EAD";"EAD";"EAD MOOC";"EAD";"EAD";"EAD FP";"EAD";"PRESENCIAL";"PRESENCIAL";"PRESENCIAL";"PRESENCIAL"}, MATCH(CONCATENATE(E959, ".", F959),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60" spans="1:42" x14ac:dyDescent="0.25">
      <c r="A960" s="1" t="s">
        <v>27</v>
      </c>
      <c r="B960" s="1" t="s">
        <v>52</v>
      </c>
      <c r="C960" s="1" t="s">
        <v>29</v>
      </c>
      <c r="D960" s="1" t="s">
        <v>53</v>
      </c>
      <c r="E960" s="1" t="s">
        <v>120</v>
      </c>
      <c r="F960" s="1" t="s">
        <v>21</v>
      </c>
      <c r="G960" s="1" t="s">
        <v>128</v>
      </c>
      <c r="H960" s="1" t="s">
        <v>208</v>
      </c>
      <c r="I960" s="1" t="s">
        <v>209</v>
      </c>
      <c r="J960" s="1" t="s">
        <v>125</v>
      </c>
      <c r="K960" s="1" t="s">
        <v>130</v>
      </c>
      <c r="L960" s="1">
        <v>3101198</v>
      </c>
      <c r="M960" s="1" t="s">
        <v>311</v>
      </c>
      <c r="N960" s="5">
        <f t="shared" ref="N960:N966" si="350">DATE(2024,2,5)</f>
        <v>45327</v>
      </c>
      <c r="O960" s="5">
        <f>DATE(2026,12,18)</f>
        <v>46374</v>
      </c>
      <c r="P960" s="5">
        <f t="shared" si="325"/>
        <v>47469</v>
      </c>
      <c r="Q960" s="1">
        <v>3400</v>
      </c>
      <c r="R960" s="1">
        <v>1200</v>
      </c>
      <c r="S960" s="1">
        <f t="shared" si="326"/>
        <v>3200</v>
      </c>
      <c r="T960" s="1">
        <v>1.5</v>
      </c>
      <c r="U960" s="1" t="str">
        <f t="shared" si="327"/>
        <v>SIM</v>
      </c>
      <c r="V960" s="1">
        <f t="shared" si="328"/>
        <v>1048</v>
      </c>
      <c r="W960" s="4">
        <f t="shared" si="329"/>
        <v>3.053435114503817</v>
      </c>
      <c r="X960" s="4">
        <f t="shared" si="330"/>
        <v>1114.5038167938933</v>
      </c>
      <c r="Y960" s="4">
        <f t="shared" si="331"/>
        <v>1.3931297709923667</v>
      </c>
      <c r="AB960" s="5">
        <f t="shared" si="332"/>
        <v>45292</v>
      </c>
      <c r="AC960" s="5">
        <f t="shared" si="333"/>
        <v>45657</v>
      </c>
      <c r="AD960" s="1">
        <v>61</v>
      </c>
      <c r="AE960" s="1">
        <f t="shared" si="334"/>
        <v>0</v>
      </c>
      <c r="AF960" s="1">
        <f t="shared" si="335"/>
        <v>331</v>
      </c>
      <c r="AG960" s="1">
        <f t="shared" si="336"/>
        <v>0</v>
      </c>
      <c r="AH960" s="1">
        <f t="shared" si="337"/>
        <v>0</v>
      </c>
      <c r="AI960" s="1">
        <f t="shared" si="338"/>
        <v>0</v>
      </c>
      <c r="AJ960" s="3">
        <f t="shared" si="339"/>
        <v>0.90437158469945356</v>
      </c>
      <c r="AK960" s="3">
        <f t="shared" si="340"/>
        <v>1.2599069786843535</v>
      </c>
      <c r="AL960" s="3">
        <f t="shared" si="341"/>
        <v>76.854325699745559</v>
      </c>
      <c r="AM960" s="3">
        <f t="shared" si="342"/>
        <v>115.28148854961833</v>
      </c>
      <c r="AN960" s="3">
        <f t="shared" si="343"/>
        <v>0</v>
      </c>
      <c r="AO960" s="3">
        <f t="shared" si="344"/>
        <v>115.28148854961833</v>
      </c>
      <c r="AP960" s="1" t="str">
        <f>INDEX({"EAD";"EAD";"EAD";"EAD MOOC";"EAD";"EAD";"EAD FP";"EAD";"PRESENCIAL";"PRESENCIAL";"PRESENCIAL";"PRESENCIAL"}, MATCH(CONCATENATE(E960, ".", F960),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61" spans="1:42" x14ac:dyDescent="0.25">
      <c r="A961" s="1" t="s">
        <v>27</v>
      </c>
      <c r="B961" s="1" t="s">
        <v>52</v>
      </c>
      <c r="C961" s="1" t="s">
        <v>29</v>
      </c>
      <c r="D961" s="1" t="s">
        <v>53</v>
      </c>
      <c r="E961" s="1" t="s">
        <v>120</v>
      </c>
      <c r="F961" s="1" t="s">
        <v>21</v>
      </c>
      <c r="G961" s="1" t="s">
        <v>128</v>
      </c>
      <c r="H961" s="1" t="s">
        <v>129</v>
      </c>
      <c r="I961" s="1" t="s">
        <v>124</v>
      </c>
      <c r="J961" s="1" t="s">
        <v>125</v>
      </c>
      <c r="K961" s="1" t="s">
        <v>130</v>
      </c>
      <c r="L961" s="1">
        <v>3101200</v>
      </c>
      <c r="M961" s="1" t="s">
        <v>1010</v>
      </c>
      <c r="N961" s="5">
        <f t="shared" si="350"/>
        <v>45327</v>
      </c>
      <c r="O961" s="5">
        <f>DATE(2026,12,18)</f>
        <v>46374</v>
      </c>
      <c r="P961" s="5">
        <f t="shared" si="325"/>
        <v>47469</v>
      </c>
      <c r="Q961" s="1">
        <v>3264</v>
      </c>
      <c r="R961" s="1">
        <v>800</v>
      </c>
      <c r="S961" s="1">
        <f t="shared" si="326"/>
        <v>3000</v>
      </c>
      <c r="T961" s="1">
        <v>1.5</v>
      </c>
      <c r="U961" s="1" t="str">
        <f t="shared" si="327"/>
        <v>SIM</v>
      </c>
      <c r="V961" s="1">
        <f t="shared" si="328"/>
        <v>1048</v>
      </c>
      <c r="W961" s="4">
        <f t="shared" si="329"/>
        <v>2.8625954198473282</v>
      </c>
      <c r="X961" s="4">
        <f t="shared" si="330"/>
        <v>1044.8473282442749</v>
      </c>
      <c r="Y961" s="4">
        <f t="shared" si="331"/>
        <v>1.3060591603053435</v>
      </c>
      <c r="AB961" s="5">
        <f t="shared" si="332"/>
        <v>45292</v>
      </c>
      <c r="AC961" s="5">
        <f t="shared" si="333"/>
        <v>45657</v>
      </c>
      <c r="AD961" s="1">
        <v>66</v>
      </c>
      <c r="AE961" s="1">
        <f t="shared" si="334"/>
        <v>0</v>
      </c>
      <c r="AF961" s="1">
        <f t="shared" si="335"/>
        <v>331</v>
      </c>
      <c r="AG961" s="1">
        <f t="shared" si="336"/>
        <v>0</v>
      </c>
      <c r="AH961" s="1">
        <f t="shared" si="337"/>
        <v>0</v>
      </c>
      <c r="AI961" s="1">
        <f t="shared" si="338"/>
        <v>0</v>
      </c>
      <c r="AJ961" s="3">
        <f t="shared" si="339"/>
        <v>0.90437158469945356</v>
      </c>
      <c r="AK961" s="3">
        <f t="shared" si="340"/>
        <v>1.1811627925165811</v>
      </c>
      <c r="AL961" s="3">
        <f t="shared" si="341"/>
        <v>77.95674430609435</v>
      </c>
      <c r="AM961" s="3">
        <f t="shared" si="342"/>
        <v>116.93511645914153</v>
      </c>
      <c r="AN961" s="3">
        <f t="shared" si="343"/>
        <v>0</v>
      </c>
      <c r="AO961" s="3">
        <f t="shared" si="344"/>
        <v>116.93511645914153</v>
      </c>
      <c r="AP961" s="1" t="str">
        <f>INDEX({"EAD";"EAD";"EAD";"EAD MOOC";"EAD";"EAD";"EAD FP";"EAD";"PRESENCIAL";"PRESENCIAL";"PRESENCIAL";"PRESENCIAL"}, MATCH(CONCATENATE(E961, ".", F961),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62" spans="1:42" x14ac:dyDescent="0.25">
      <c r="A962" s="1" t="s">
        <v>27</v>
      </c>
      <c r="B962" s="1" t="s">
        <v>52</v>
      </c>
      <c r="C962" s="1" t="s">
        <v>29</v>
      </c>
      <c r="D962" s="1" t="s">
        <v>53</v>
      </c>
      <c r="E962" s="1" t="s">
        <v>120</v>
      </c>
      <c r="F962" s="1" t="s">
        <v>21</v>
      </c>
      <c r="G962" s="1" t="s">
        <v>128</v>
      </c>
      <c r="H962" s="1" t="s">
        <v>223</v>
      </c>
      <c r="I962" s="1" t="s">
        <v>224</v>
      </c>
      <c r="J962" s="1" t="s">
        <v>125</v>
      </c>
      <c r="K962" s="1" t="s">
        <v>130</v>
      </c>
      <c r="L962" s="1">
        <v>3101944</v>
      </c>
      <c r="M962" s="1" t="s">
        <v>1128</v>
      </c>
      <c r="N962" s="5">
        <f t="shared" si="350"/>
        <v>45327</v>
      </c>
      <c r="O962" s="5">
        <f>DATE(2026,12,18)</f>
        <v>46374</v>
      </c>
      <c r="P962" s="5">
        <f t="shared" si="325"/>
        <v>47469</v>
      </c>
      <c r="Q962" s="1">
        <v>3196</v>
      </c>
      <c r="R962" s="1">
        <v>1200</v>
      </c>
      <c r="S962" s="1">
        <f t="shared" si="326"/>
        <v>3200</v>
      </c>
      <c r="T962" s="1">
        <v>2.5</v>
      </c>
      <c r="U962" s="1" t="str">
        <f t="shared" si="327"/>
        <v>SIM</v>
      </c>
      <c r="V962" s="1">
        <f t="shared" si="328"/>
        <v>1048</v>
      </c>
      <c r="W962" s="4">
        <f t="shared" si="329"/>
        <v>3.0496183206106871</v>
      </c>
      <c r="X962" s="4">
        <f t="shared" si="330"/>
        <v>1113.1106870229007</v>
      </c>
      <c r="Y962" s="4">
        <f t="shared" si="331"/>
        <v>1.391388358778626</v>
      </c>
      <c r="AB962" s="5">
        <f t="shared" si="332"/>
        <v>45292</v>
      </c>
      <c r="AC962" s="5">
        <f t="shared" si="333"/>
        <v>45657</v>
      </c>
      <c r="AD962" s="1">
        <v>54</v>
      </c>
      <c r="AE962" s="1">
        <f t="shared" si="334"/>
        <v>0</v>
      </c>
      <c r="AF962" s="1">
        <f t="shared" si="335"/>
        <v>331</v>
      </c>
      <c r="AG962" s="1">
        <f t="shared" si="336"/>
        <v>0</v>
      </c>
      <c r="AH962" s="1">
        <f t="shared" si="337"/>
        <v>0</v>
      </c>
      <c r="AI962" s="1">
        <f t="shared" si="338"/>
        <v>0</v>
      </c>
      <c r="AJ962" s="3">
        <f t="shared" si="339"/>
        <v>0.90437158469945356</v>
      </c>
      <c r="AK962" s="3">
        <f t="shared" si="340"/>
        <v>1.2583320949609977</v>
      </c>
      <c r="AL962" s="3">
        <f t="shared" si="341"/>
        <v>67.949933127893871</v>
      </c>
      <c r="AM962" s="3">
        <f t="shared" si="342"/>
        <v>169.87483281973468</v>
      </c>
      <c r="AN962" s="3">
        <f t="shared" si="343"/>
        <v>0</v>
      </c>
      <c r="AO962" s="3">
        <f t="shared" si="344"/>
        <v>169.87483281973468</v>
      </c>
      <c r="AP962" s="1" t="str">
        <f>INDEX({"EAD";"EAD";"EAD";"EAD MOOC";"EAD";"EAD";"EAD FP";"EAD";"PRESENCIAL";"PRESENCIAL";"PRESENCIAL";"PRESENCIAL"}, MATCH(CONCATENATE(E962, ".", F962),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63" spans="1:42" x14ac:dyDescent="0.25">
      <c r="A963" s="1" t="s">
        <v>27</v>
      </c>
      <c r="B963" s="1" t="s">
        <v>52</v>
      </c>
      <c r="C963" s="1" t="s">
        <v>29</v>
      </c>
      <c r="D963" s="1" t="s">
        <v>53</v>
      </c>
      <c r="E963" s="1" t="s">
        <v>120</v>
      </c>
      <c r="F963" s="1" t="s">
        <v>21</v>
      </c>
      <c r="G963" s="1" t="s">
        <v>121</v>
      </c>
      <c r="H963" s="1" t="s">
        <v>123</v>
      </c>
      <c r="I963" s="1" t="s">
        <v>124</v>
      </c>
      <c r="J963" s="1" t="s">
        <v>125</v>
      </c>
      <c r="K963" s="1" t="s">
        <v>109</v>
      </c>
      <c r="L963" s="1">
        <v>3102908</v>
      </c>
      <c r="M963" s="1" t="s">
        <v>1129</v>
      </c>
      <c r="N963" s="5">
        <f t="shared" si="350"/>
        <v>45327</v>
      </c>
      <c r="O963" s="5">
        <f>DATE(2027,12,24)</f>
        <v>46745</v>
      </c>
      <c r="P963" s="5">
        <f t="shared" si="325"/>
        <v>47840</v>
      </c>
      <c r="Q963" s="1">
        <v>3000</v>
      </c>
      <c r="R963" s="1">
        <v>3000</v>
      </c>
      <c r="S963" s="1">
        <f t="shared" si="326"/>
        <v>3000</v>
      </c>
      <c r="T963" s="1">
        <v>1</v>
      </c>
      <c r="U963" s="1" t="str">
        <f t="shared" si="327"/>
        <v>SIM</v>
      </c>
      <c r="V963" s="1">
        <f t="shared" si="328"/>
        <v>1419</v>
      </c>
      <c r="W963" s="4">
        <f t="shared" si="329"/>
        <v>2.1141649048625792</v>
      </c>
      <c r="X963" s="4">
        <f t="shared" si="330"/>
        <v>771.67019027484139</v>
      </c>
      <c r="Y963" s="4">
        <f t="shared" si="331"/>
        <v>0.96458773784355178</v>
      </c>
      <c r="AB963" s="5">
        <f t="shared" si="332"/>
        <v>45292</v>
      </c>
      <c r="AC963" s="5">
        <f t="shared" si="333"/>
        <v>45657</v>
      </c>
      <c r="AD963" s="1">
        <v>35</v>
      </c>
      <c r="AE963" s="1">
        <f t="shared" si="334"/>
        <v>0</v>
      </c>
      <c r="AF963" s="1">
        <f t="shared" si="335"/>
        <v>331</v>
      </c>
      <c r="AG963" s="1">
        <f t="shared" si="336"/>
        <v>0</v>
      </c>
      <c r="AH963" s="1">
        <f t="shared" si="337"/>
        <v>0</v>
      </c>
      <c r="AI963" s="1">
        <f t="shared" si="338"/>
        <v>0</v>
      </c>
      <c r="AJ963" s="3">
        <f t="shared" si="339"/>
        <v>0.90437158469945356</v>
      </c>
      <c r="AK963" s="3">
        <f t="shared" si="340"/>
        <v>0.87234574105523399</v>
      </c>
      <c r="AL963" s="3">
        <f t="shared" si="341"/>
        <v>30.53210093693319</v>
      </c>
      <c r="AM963" s="3">
        <f t="shared" si="342"/>
        <v>30.53210093693319</v>
      </c>
      <c r="AN963" s="3">
        <f t="shared" si="343"/>
        <v>0</v>
      </c>
      <c r="AO963" s="3">
        <f t="shared" si="344"/>
        <v>30.53210093693319</v>
      </c>
      <c r="AP963" s="1" t="str">
        <f>INDEX({"EAD";"EAD";"EAD";"EAD MOOC";"EAD";"EAD";"EAD FP";"EAD";"PRESENCIAL";"PRESENCIAL";"PRESENCIAL";"PRESENCIAL"}, MATCH(CONCATENATE(E963, ".", F963),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64" spans="1:42" x14ac:dyDescent="0.25">
      <c r="A964" s="1" t="s">
        <v>27</v>
      </c>
      <c r="B964" s="1" t="s">
        <v>52</v>
      </c>
      <c r="C964" s="1" t="s">
        <v>29</v>
      </c>
      <c r="D964" s="1" t="s">
        <v>53</v>
      </c>
      <c r="E964" s="1" t="s">
        <v>120</v>
      </c>
      <c r="F964" s="1" t="s">
        <v>21</v>
      </c>
      <c r="G964" s="1" t="s">
        <v>121</v>
      </c>
      <c r="H964" s="1" t="s">
        <v>1116</v>
      </c>
      <c r="I964" s="1" t="s">
        <v>209</v>
      </c>
      <c r="J964" s="1" t="s">
        <v>125</v>
      </c>
      <c r="K964" s="1" t="s">
        <v>109</v>
      </c>
      <c r="L964" s="1">
        <v>3102940</v>
      </c>
      <c r="M964" s="1" t="s">
        <v>1130</v>
      </c>
      <c r="N964" s="5">
        <f t="shared" si="350"/>
        <v>45327</v>
      </c>
      <c r="O964" s="5">
        <f>DATE(2027,12,24)</f>
        <v>46745</v>
      </c>
      <c r="P964" s="5">
        <f t="shared" ref="P964:P1027" si="351">IF(G964="QUALIFICACAO PROFISSIONAL (FIC)",O964,O964+1095)</f>
        <v>47840</v>
      </c>
      <c r="Q964" s="1">
        <v>3034</v>
      </c>
      <c r="R964" s="1">
        <v>3000</v>
      </c>
      <c r="S964" s="1">
        <f t="shared" ref="S964:S1027" si="352">IF(OR(G964="QUALIFICACAO PROFISSIONAL (FIC)",G964="DOUTORADO"),Q964,    IF(ISNUMBER(FIND("PROEJA",K964)),2400,        IF(K964="INTEGRADO",            IF(R964=800,3000,                IF(R964=1000,3100,                    IF(R964=1200,3200,R964)                )            ),            R964        )    ))</f>
        <v>3000</v>
      </c>
      <c r="T964" s="1">
        <v>1.5</v>
      </c>
      <c r="U964" s="1" t="str">
        <f t="shared" ref="U964:U1027" si="353">IF(P964&lt;AB964,"NÃO","SIM")</f>
        <v>SIM</v>
      </c>
      <c r="V964" s="1">
        <f t="shared" ref="V964:V1027" si="354">O964-N964+1</f>
        <v>1419</v>
      </c>
      <c r="W964" s="4">
        <f t="shared" ref="W964:W1027" si="355">IF(S964&gt;Q964,Q964,S964)/V964</f>
        <v>2.1141649048625792</v>
      </c>
      <c r="X964" s="4">
        <f t="shared" ref="X964:X1027" si="356">IF(V964&gt;365,W964*365,S964)</f>
        <v>771.67019027484139</v>
      </c>
      <c r="Y964" s="4">
        <f t="shared" ref="Y964:Y1027" si="357">IF(V964&gt;365,X964/800,S964/800)</f>
        <v>0.96458773784355178</v>
      </c>
      <c r="AB964" s="5">
        <f t="shared" ref="AB964:AB1027" si="358">DATE(2024,1,1)</f>
        <v>45292</v>
      </c>
      <c r="AC964" s="5">
        <f t="shared" ref="AC964:AC1027" si="359">DATE(2024,12,31)</f>
        <v>45657</v>
      </c>
      <c r="AD964" s="1">
        <v>34</v>
      </c>
      <c r="AE964" s="1">
        <f t="shared" ref="AE964:AE1027" si="360">IF(AND(N964&lt;AB964,O964&gt;AC964),AC964-AB964+1,0)</f>
        <v>0</v>
      </c>
      <c r="AF964" s="1">
        <f t="shared" ref="AF964:AF1027" si="361">IF(AND(N964&gt;=AB964,O964&gt;AC964,N964&lt;AC964),AC964-N964+1,0)</f>
        <v>331</v>
      </c>
      <c r="AG964" s="1">
        <f t="shared" ref="AG964:AG1027" si="362">IF(AND(N964&lt;AB964,O964&lt;=AC964,O964&gt;=AB964),O964-AB964+1,0)</f>
        <v>0</v>
      </c>
      <c r="AH964" s="1">
        <f t="shared" ref="AH964:AH1027" si="363">IF(AND(N964&gt;=AB964,O964&lt;=AC964),O964-N964+1,0)</f>
        <v>0</v>
      </c>
      <c r="AI964" s="1">
        <f t="shared" ref="AI964:AI1027" si="364">IF(AND(N964&lt;AB964,O964&lt;AB964),(AC964-AB964+1)/2,0)</f>
        <v>0</v>
      </c>
      <c r="AJ964" s="3">
        <f t="shared" ref="AJ964:AJ1027" si="365">SUM(AE964:AI964)/IF(V964&gt;=365,AC964-AB964+1,V964)</f>
        <v>0.90437158469945356</v>
      </c>
      <c r="AK964" s="3">
        <f t="shared" ref="AK964:AK1027" si="366">Y964*AJ964</f>
        <v>0.87234574105523399</v>
      </c>
      <c r="AL964" s="3">
        <f t="shared" ref="AL964:AL1027" si="367">IF(AI964=0,AK964*AD964,IF(U964="SIM",AK964*(AD964/2),0))</f>
        <v>29.659755195877956</v>
      </c>
      <c r="AM964" s="3">
        <f t="shared" ref="AM964:AM1027" si="368">AL964*T964</f>
        <v>44.489632793816938</v>
      </c>
      <c r="AN964" s="3">
        <f t="shared" ref="AN964:AN1027" si="369">IF(J964="SIM",AM964*50%,0)</f>
        <v>0</v>
      </c>
      <c r="AO964" s="3">
        <f t="shared" ref="AO964:AO1027" si="370">IF(U964="SIM",AM964+AN964,0)</f>
        <v>44.489632793816938</v>
      </c>
      <c r="AP964" s="1" t="str">
        <f>INDEX({"EAD";"EAD";"EAD";"EAD MOOC";"EAD";"EAD";"EAD FP";"EAD";"PRESENCIAL";"PRESENCIAL";"PRESENCIAL";"PRESENCIAL"}, MATCH(CONCATENATE(E964, ".", F964),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65" spans="1:42" x14ac:dyDescent="0.25">
      <c r="A965" s="1" t="s">
        <v>27</v>
      </c>
      <c r="B965" s="1" t="s">
        <v>52</v>
      </c>
      <c r="C965" s="1" t="s">
        <v>29</v>
      </c>
      <c r="D965" s="1" t="s">
        <v>53</v>
      </c>
      <c r="E965" s="1" t="s">
        <v>120</v>
      </c>
      <c r="F965" s="1" t="s">
        <v>21</v>
      </c>
      <c r="G965" s="1" t="s">
        <v>121</v>
      </c>
      <c r="H965" s="1" t="s">
        <v>662</v>
      </c>
      <c r="I965" s="1" t="s">
        <v>503</v>
      </c>
      <c r="J965" s="1" t="s">
        <v>125</v>
      </c>
      <c r="K965" s="1" t="s">
        <v>109</v>
      </c>
      <c r="L965" s="1">
        <v>3102943</v>
      </c>
      <c r="M965" s="1" t="s">
        <v>1131</v>
      </c>
      <c r="N965" s="5">
        <f t="shared" si="350"/>
        <v>45327</v>
      </c>
      <c r="O965" s="5">
        <f>DATE(2028,12,22)</f>
        <v>47109</v>
      </c>
      <c r="P965" s="5">
        <f t="shared" si="351"/>
        <v>48204</v>
      </c>
      <c r="Q965" s="1">
        <v>3710</v>
      </c>
      <c r="R965" s="1">
        <v>3600</v>
      </c>
      <c r="S965" s="1">
        <f t="shared" si="352"/>
        <v>3600</v>
      </c>
      <c r="T965" s="1">
        <v>2.5</v>
      </c>
      <c r="U965" s="1" t="str">
        <f t="shared" si="353"/>
        <v>SIM</v>
      </c>
      <c r="V965" s="1">
        <f t="shared" si="354"/>
        <v>1783</v>
      </c>
      <c r="W965" s="4">
        <f t="shared" si="355"/>
        <v>2.0190689848569825</v>
      </c>
      <c r="X965" s="4">
        <f t="shared" si="356"/>
        <v>736.96017947279859</v>
      </c>
      <c r="Y965" s="4">
        <f t="shared" si="357"/>
        <v>0.92120022434099824</v>
      </c>
      <c r="AB965" s="5">
        <f t="shared" si="358"/>
        <v>45292</v>
      </c>
      <c r="AC965" s="5">
        <f t="shared" si="359"/>
        <v>45657</v>
      </c>
      <c r="AD965" s="1">
        <v>30</v>
      </c>
      <c r="AE965" s="1">
        <f t="shared" si="360"/>
        <v>0</v>
      </c>
      <c r="AF965" s="1">
        <f t="shared" si="361"/>
        <v>331</v>
      </c>
      <c r="AG965" s="1">
        <f t="shared" si="362"/>
        <v>0</v>
      </c>
      <c r="AH965" s="1">
        <f t="shared" si="363"/>
        <v>0</v>
      </c>
      <c r="AI965" s="1">
        <f t="shared" si="364"/>
        <v>0</v>
      </c>
      <c r="AJ965" s="3">
        <f t="shared" si="365"/>
        <v>0.90437158469945356</v>
      </c>
      <c r="AK965" s="3">
        <f t="shared" si="366"/>
        <v>0.83310730671276068</v>
      </c>
      <c r="AL965" s="3">
        <f t="shared" si="367"/>
        <v>24.993219201382821</v>
      </c>
      <c r="AM965" s="3">
        <f t="shared" si="368"/>
        <v>62.483048003457057</v>
      </c>
      <c r="AN965" s="3">
        <f t="shared" si="369"/>
        <v>0</v>
      </c>
      <c r="AO965" s="3">
        <f t="shared" si="370"/>
        <v>62.483048003457057</v>
      </c>
      <c r="AP965" s="1" t="str">
        <f>INDEX({"EAD";"EAD";"EAD";"EAD MOOC";"EAD";"EAD";"EAD FP";"EAD";"PRESENCIAL";"PRESENCIAL";"PRESENCIAL";"PRESENCIAL"}, MATCH(CONCATENATE(E965, ".", F965),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66" spans="1:42" x14ac:dyDescent="0.25">
      <c r="A966" s="1" t="s">
        <v>27</v>
      </c>
      <c r="B966" s="1" t="s">
        <v>52</v>
      </c>
      <c r="C966" s="1" t="s">
        <v>29</v>
      </c>
      <c r="D966" s="1" t="s">
        <v>53</v>
      </c>
      <c r="E966" s="1" t="s">
        <v>120</v>
      </c>
      <c r="F966" s="1" t="s">
        <v>447</v>
      </c>
      <c r="G966" s="1" t="s">
        <v>128</v>
      </c>
      <c r="H966" s="1" t="s">
        <v>208</v>
      </c>
      <c r="I966" s="1" t="s">
        <v>209</v>
      </c>
      <c r="J966" s="1" t="s">
        <v>125</v>
      </c>
      <c r="K966" s="1" t="s">
        <v>259</v>
      </c>
      <c r="L966" s="1">
        <v>3132774</v>
      </c>
      <c r="M966" s="1" t="s">
        <v>1132</v>
      </c>
      <c r="N966" s="5">
        <f t="shared" si="350"/>
        <v>45327</v>
      </c>
      <c r="O966" s="5">
        <f>DATE(2026,12,18)</f>
        <v>46374</v>
      </c>
      <c r="P966" s="5">
        <f t="shared" si="351"/>
        <v>47469</v>
      </c>
      <c r="Q966" s="1">
        <v>1200</v>
      </c>
      <c r="R966" s="1">
        <v>1200</v>
      </c>
      <c r="S966" s="1">
        <f t="shared" si="352"/>
        <v>1200</v>
      </c>
      <c r="T966" s="1">
        <v>1.5</v>
      </c>
      <c r="U966" s="1" t="str">
        <f t="shared" si="353"/>
        <v>SIM</v>
      </c>
      <c r="V966" s="1">
        <f t="shared" si="354"/>
        <v>1048</v>
      </c>
      <c r="W966" s="4">
        <f t="shared" si="355"/>
        <v>1.1450381679389312</v>
      </c>
      <c r="X966" s="4">
        <f t="shared" si="356"/>
        <v>417.93893129770987</v>
      </c>
      <c r="Y966" s="4">
        <f t="shared" si="357"/>
        <v>0.52242366412213737</v>
      </c>
      <c r="AB966" s="5">
        <f t="shared" si="358"/>
        <v>45292</v>
      </c>
      <c r="AC966" s="5">
        <f t="shared" si="359"/>
        <v>45657</v>
      </c>
      <c r="AD966" s="1">
        <v>30</v>
      </c>
      <c r="AE966" s="1">
        <f t="shared" si="360"/>
        <v>0</v>
      </c>
      <c r="AF966" s="1">
        <f t="shared" si="361"/>
        <v>331</v>
      </c>
      <c r="AG966" s="1">
        <f t="shared" si="362"/>
        <v>0</v>
      </c>
      <c r="AH966" s="1">
        <f t="shared" si="363"/>
        <v>0</v>
      </c>
      <c r="AI966" s="1">
        <f t="shared" si="364"/>
        <v>0</v>
      </c>
      <c r="AJ966" s="3">
        <f t="shared" si="365"/>
        <v>0.90437158469945356</v>
      </c>
      <c r="AK966" s="3">
        <f t="shared" si="366"/>
        <v>0.47246511700663241</v>
      </c>
      <c r="AL966" s="3">
        <f t="shared" si="367"/>
        <v>14.173953510198972</v>
      </c>
      <c r="AM966" s="3">
        <f t="shared" si="368"/>
        <v>21.260930265298459</v>
      </c>
      <c r="AN966" s="3">
        <f t="shared" si="369"/>
        <v>0</v>
      </c>
      <c r="AO966" s="3">
        <f t="shared" si="370"/>
        <v>21.260930265298459</v>
      </c>
      <c r="AP966" s="1" t="str">
        <f>INDEX({"EAD";"EAD";"EAD";"EAD MOOC";"EAD";"EAD";"EAD FP";"EAD";"PRESENCIAL";"PRESENCIAL";"PRESENCIAL";"PRESENCIAL"}, MATCH(CONCATENATE(E966, ".", F966),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67" spans="1:42" x14ac:dyDescent="0.25">
      <c r="A967" s="1" t="s">
        <v>27</v>
      </c>
      <c r="B967" s="1" t="s">
        <v>52</v>
      </c>
      <c r="C967" s="1" t="s">
        <v>29</v>
      </c>
      <c r="D967" s="1" t="s">
        <v>53</v>
      </c>
      <c r="E967" s="1" t="s">
        <v>120</v>
      </c>
      <c r="F967" s="1" t="s">
        <v>447</v>
      </c>
      <c r="G967" s="1" t="s">
        <v>128</v>
      </c>
      <c r="H967" s="1" t="s">
        <v>1133</v>
      </c>
      <c r="I967" s="1" t="s">
        <v>503</v>
      </c>
      <c r="J967" s="1" t="s">
        <v>125</v>
      </c>
      <c r="K967" s="1" t="s">
        <v>259</v>
      </c>
      <c r="L967" s="1">
        <v>3168404</v>
      </c>
      <c r="M967" s="1" t="s">
        <v>1134</v>
      </c>
      <c r="N967" s="5">
        <f>DATE(2024,2,7)</f>
        <v>45329</v>
      </c>
      <c r="O967" s="5">
        <f>DATE(2026,12,18)</f>
        <v>46374</v>
      </c>
      <c r="P967" s="5">
        <f t="shared" si="351"/>
        <v>47469</v>
      </c>
      <c r="Q967" s="1">
        <v>1200</v>
      </c>
      <c r="R967" s="1">
        <v>1200</v>
      </c>
      <c r="S967" s="1">
        <f t="shared" si="352"/>
        <v>1200</v>
      </c>
      <c r="T967" s="1">
        <v>2.5</v>
      </c>
      <c r="U967" s="1" t="str">
        <f t="shared" si="353"/>
        <v>SIM</v>
      </c>
      <c r="V967" s="1">
        <f t="shared" si="354"/>
        <v>1046</v>
      </c>
      <c r="W967" s="4">
        <f t="shared" si="355"/>
        <v>1.1472275334608031</v>
      </c>
      <c r="X967" s="4">
        <f t="shared" si="356"/>
        <v>418.73804971319311</v>
      </c>
      <c r="Y967" s="4">
        <f t="shared" si="357"/>
        <v>0.52342256214149141</v>
      </c>
      <c r="AB967" s="5">
        <f t="shared" si="358"/>
        <v>45292</v>
      </c>
      <c r="AC967" s="5">
        <f t="shared" si="359"/>
        <v>45657</v>
      </c>
      <c r="AD967" s="1">
        <v>22</v>
      </c>
      <c r="AE967" s="1">
        <f t="shared" si="360"/>
        <v>0</v>
      </c>
      <c r="AF967" s="1">
        <f t="shared" si="361"/>
        <v>329</v>
      </c>
      <c r="AG967" s="1">
        <f t="shared" si="362"/>
        <v>0</v>
      </c>
      <c r="AH967" s="1">
        <f t="shared" si="363"/>
        <v>0</v>
      </c>
      <c r="AI967" s="1">
        <f t="shared" si="364"/>
        <v>0</v>
      </c>
      <c r="AJ967" s="3">
        <f t="shared" si="365"/>
        <v>0.89890710382513661</v>
      </c>
      <c r="AK967" s="3">
        <f t="shared" si="366"/>
        <v>0.47050825941134061</v>
      </c>
      <c r="AL967" s="3">
        <f t="shared" si="367"/>
        <v>10.351181707049493</v>
      </c>
      <c r="AM967" s="3">
        <f t="shared" si="368"/>
        <v>25.877954267623732</v>
      </c>
      <c r="AN967" s="3">
        <f t="shared" si="369"/>
        <v>0</v>
      </c>
      <c r="AO967" s="3">
        <f t="shared" si="370"/>
        <v>25.877954267623732</v>
      </c>
      <c r="AP967" s="1" t="str">
        <f>INDEX({"EAD";"EAD";"EAD";"EAD MOOC";"EAD";"EAD";"EAD FP";"EAD";"PRESENCIAL";"PRESENCIAL";"PRESENCIAL";"PRESENCIAL"}, MATCH(CONCATENATE(E967, ".", F967),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68" spans="1:42" x14ac:dyDescent="0.25">
      <c r="A968" s="1" t="s">
        <v>27</v>
      </c>
      <c r="B968" s="1" t="s">
        <v>52</v>
      </c>
      <c r="C968" s="1" t="s">
        <v>29</v>
      </c>
      <c r="D968" s="1" t="s">
        <v>53</v>
      </c>
      <c r="E968" s="1" t="s">
        <v>120</v>
      </c>
      <c r="F968" s="1" t="s">
        <v>21</v>
      </c>
      <c r="G968" s="1" t="s">
        <v>278</v>
      </c>
      <c r="H968" s="1" t="s">
        <v>405</v>
      </c>
      <c r="I968" s="1" t="s">
        <v>172</v>
      </c>
      <c r="J968" s="1" t="s">
        <v>125</v>
      </c>
      <c r="K968" s="1" t="s">
        <v>109</v>
      </c>
      <c r="L968" s="1">
        <v>3104092</v>
      </c>
      <c r="M968" s="1" t="s">
        <v>1135</v>
      </c>
      <c r="N968" s="5">
        <f>DATE(2024,3,4)</f>
        <v>45355</v>
      </c>
      <c r="O968" s="5">
        <f>DATE(2027,12,24)</f>
        <v>46745</v>
      </c>
      <c r="P968" s="5">
        <f t="shared" si="351"/>
        <v>47840</v>
      </c>
      <c r="Q968" s="1">
        <v>3307</v>
      </c>
      <c r="R968" s="1">
        <v>3200</v>
      </c>
      <c r="S968" s="1">
        <f t="shared" si="352"/>
        <v>3200</v>
      </c>
      <c r="T968" s="1">
        <v>2.5</v>
      </c>
      <c r="U968" s="1" t="str">
        <f t="shared" si="353"/>
        <v>SIM</v>
      </c>
      <c r="V968" s="1">
        <f t="shared" si="354"/>
        <v>1391</v>
      </c>
      <c r="W968" s="4">
        <f t="shared" si="355"/>
        <v>2.3005032350826742</v>
      </c>
      <c r="X968" s="4">
        <f t="shared" si="356"/>
        <v>839.6836808051761</v>
      </c>
      <c r="Y968" s="4">
        <f t="shared" si="357"/>
        <v>1.0496046010064701</v>
      </c>
      <c r="AB968" s="5">
        <f t="shared" si="358"/>
        <v>45292</v>
      </c>
      <c r="AC968" s="5">
        <f t="shared" si="359"/>
        <v>45657</v>
      </c>
      <c r="AD968" s="1">
        <v>34</v>
      </c>
      <c r="AE968" s="1">
        <f t="shared" si="360"/>
        <v>0</v>
      </c>
      <c r="AF968" s="1">
        <f t="shared" si="361"/>
        <v>303</v>
      </c>
      <c r="AG968" s="1">
        <f t="shared" si="362"/>
        <v>0</v>
      </c>
      <c r="AH968" s="1">
        <f t="shared" si="363"/>
        <v>0</v>
      </c>
      <c r="AI968" s="1">
        <f t="shared" si="364"/>
        <v>0</v>
      </c>
      <c r="AJ968" s="3">
        <f t="shared" si="365"/>
        <v>0.82786885245901642</v>
      </c>
      <c r="AK968" s="3">
        <f t="shared" si="366"/>
        <v>0.86893495657093023</v>
      </c>
      <c r="AL968" s="3">
        <f t="shared" si="367"/>
        <v>29.543788523411628</v>
      </c>
      <c r="AM968" s="3">
        <f t="shared" si="368"/>
        <v>73.859471308529066</v>
      </c>
      <c r="AN968" s="3">
        <f t="shared" si="369"/>
        <v>0</v>
      </c>
      <c r="AO968" s="3">
        <f t="shared" si="370"/>
        <v>73.859471308529066</v>
      </c>
      <c r="AP968" s="1" t="str">
        <f>INDEX({"EAD";"EAD";"EAD";"EAD MOOC";"EAD";"EAD";"EAD FP";"EAD";"PRESENCIAL";"PRESENCIAL";"PRESENCIAL";"PRESENCIAL"}, MATCH(CONCATENATE(E968, ".", F968),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69" spans="1:42" x14ac:dyDescent="0.25">
      <c r="A969" s="1" t="s">
        <v>27</v>
      </c>
      <c r="B969" s="1" t="s">
        <v>52</v>
      </c>
      <c r="C969" s="1" t="s">
        <v>29</v>
      </c>
      <c r="D969" s="1" t="s">
        <v>53</v>
      </c>
      <c r="E969" s="1" t="s">
        <v>120</v>
      </c>
      <c r="F969" s="1" t="s">
        <v>21</v>
      </c>
      <c r="G969" s="1" t="s">
        <v>161</v>
      </c>
      <c r="H969" s="1" t="s">
        <v>984</v>
      </c>
      <c r="I969" s="1" t="s">
        <v>228</v>
      </c>
      <c r="J969" s="1" t="s">
        <v>125</v>
      </c>
      <c r="K969" s="1" t="s">
        <v>109</v>
      </c>
      <c r="L969" s="1">
        <v>3132349</v>
      </c>
      <c r="M969" s="1" t="s">
        <v>1136</v>
      </c>
      <c r="N969" s="5">
        <f>DATE(2024,5,1)</f>
        <v>45413</v>
      </c>
      <c r="O969" s="5">
        <f>DATE(2024,7,31)</f>
        <v>45504</v>
      </c>
      <c r="P969" s="5">
        <f t="shared" si="351"/>
        <v>45504</v>
      </c>
      <c r="Q969" s="1">
        <v>40</v>
      </c>
      <c r="R969" s="1">
        <v>160</v>
      </c>
      <c r="S969" s="1">
        <f t="shared" si="352"/>
        <v>40</v>
      </c>
      <c r="T969" s="1">
        <v>1</v>
      </c>
      <c r="U969" s="1" t="str">
        <f t="shared" si="353"/>
        <v>SIM</v>
      </c>
      <c r="V969" s="1">
        <f t="shared" si="354"/>
        <v>92</v>
      </c>
      <c r="W969" s="4">
        <f t="shared" si="355"/>
        <v>0.43478260869565216</v>
      </c>
      <c r="X969" s="4">
        <f t="shared" si="356"/>
        <v>40</v>
      </c>
      <c r="Y969" s="4">
        <f t="shared" si="357"/>
        <v>0.05</v>
      </c>
      <c r="AB969" s="5">
        <f t="shared" si="358"/>
        <v>45292</v>
      </c>
      <c r="AC969" s="5">
        <f t="shared" si="359"/>
        <v>45657</v>
      </c>
      <c r="AD969" s="1">
        <v>20</v>
      </c>
      <c r="AE969" s="1">
        <f t="shared" si="360"/>
        <v>0</v>
      </c>
      <c r="AF969" s="1">
        <f t="shared" si="361"/>
        <v>0</v>
      </c>
      <c r="AG969" s="1">
        <f t="shared" si="362"/>
        <v>0</v>
      </c>
      <c r="AH969" s="1">
        <f t="shared" si="363"/>
        <v>92</v>
      </c>
      <c r="AI969" s="1">
        <f t="shared" si="364"/>
        <v>0</v>
      </c>
      <c r="AJ969" s="3">
        <f t="shared" si="365"/>
        <v>1</v>
      </c>
      <c r="AK969" s="3">
        <f t="shared" si="366"/>
        <v>0.05</v>
      </c>
      <c r="AL969" s="3">
        <f t="shared" si="367"/>
        <v>1</v>
      </c>
      <c r="AM969" s="3">
        <f t="shared" si="368"/>
        <v>1</v>
      </c>
      <c r="AN969" s="3">
        <f t="shared" si="369"/>
        <v>0</v>
      </c>
      <c r="AO969" s="3">
        <f t="shared" si="370"/>
        <v>1</v>
      </c>
      <c r="AP969" s="1" t="str">
        <f>INDEX({"EAD";"EAD";"EAD";"EAD MOOC";"EAD";"EAD";"EAD FP";"EAD";"PRESENCIAL";"PRESENCIAL";"PRESENCIAL";"PRESENCIAL"}, MATCH(CONCATENATE(E969, ".", F969),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70" spans="1:42" x14ac:dyDescent="0.25">
      <c r="A970" s="1" t="s">
        <v>27</v>
      </c>
      <c r="B970" s="1" t="s">
        <v>52</v>
      </c>
      <c r="C970" s="1" t="s">
        <v>29</v>
      </c>
      <c r="D970" s="1" t="s">
        <v>53</v>
      </c>
      <c r="E970" s="1" t="s">
        <v>120</v>
      </c>
      <c r="F970" s="1" t="s">
        <v>21</v>
      </c>
      <c r="G970" s="1" t="s">
        <v>161</v>
      </c>
      <c r="H970" s="1" t="s">
        <v>162</v>
      </c>
      <c r="I970" s="1" t="s">
        <v>124</v>
      </c>
      <c r="J970" s="1" t="s">
        <v>125</v>
      </c>
      <c r="K970" s="1" t="s">
        <v>109</v>
      </c>
      <c r="L970" s="1">
        <v>3132355</v>
      </c>
      <c r="M970" s="1" t="s">
        <v>1137</v>
      </c>
      <c r="N970" s="5">
        <f>DATE(2024,5,1)</f>
        <v>45413</v>
      </c>
      <c r="O970" s="5">
        <f>DATE(2024,6,30)</f>
        <v>45473</v>
      </c>
      <c r="P970" s="5">
        <f t="shared" si="351"/>
        <v>45473</v>
      </c>
      <c r="Q970" s="1">
        <v>20</v>
      </c>
      <c r="R970" s="1">
        <v>1600</v>
      </c>
      <c r="S970" s="1">
        <f t="shared" si="352"/>
        <v>20</v>
      </c>
      <c r="T970" s="1">
        <v>1</v>
      </c>
      <c r="U970" s="1" t="str">
        <f t="shared" si="353"/>
        <v>SIM</v>
      </c>
      <c r="V970" s="1">
        <f t="shared" si="354"/>
        <v>61</v>
      </c>
      <c r="W970" s="4">
        <f t="shared" si="355"/>
        <v>0.32786885245901637</v>
      </c>
      <c r="X970" s="4">
        <f t="shared" si="356"/>
        <v>20</v>
      </c>
      <c r="Y970" s="4">
        <f t="shared" si="357"/>
        <v>2.5000000000000001E-2</v>
      </c>
      <c r="AB970" s="5">
        <f t="shared" si="358"/>
        <v>45292</v>
      </c>
      <c r="AC970" s="5">
        <f t="shared" si="359"/>
        <v>45657</v>
      </c>
      <c r="AD970" s="1">
        <v>20</v>
      </c>
      <c r="AE970" s="1">
        <f t="shared" si="360"/>
        <v>0</v>
      </c>
      <c r="AF970" s="1">
        <f t="shared" si="361"/>
        <v>0</v>
      </c>
      <c r="AG970" s="1">
        <f t="shared" si="362"/>
        <v>0</v>
      </c>
      <c r="AH970" s="1">
        <f t="shared" si="363"/>
        <v>61</v>
      </c>
      <c r="AI970" s="1">
        <f t="shared" si="364"/>
        <v>0</v>
      </c>
      <c r="AJ970" s="3">
        <f t="shared" si="365"/>
        <v>1</v>
      </c>
      <c r="AK970" s="3">
        <f t="shared" si="366"/>
        <v>2.5000000000000001E-2</v>
      </c>
      <c r="AL970" s="3">
        <f t="shared" si="367"/>
        <v>0.5</v>
      </c>
      <c r="AM970" s="3">
        <f t="shared" si="368"/>
        <v>0.5</v>
      </c>
      <c r="AN970" s="3">
        <f t="shared" si="369"/>
        <v>0</v>
      </c>
      <c r="AO970" s="3">
        <f t="shared" si="370"/>
        <v>0.5</v>
      </c>
      <c r="AP970" s="1" t="str">
        <f>INDEX({"EAD";"EAD";"EAD";"EAD MOOC";"EAD";"EAD";"EAD FP";"EAD";"PRESENCIAL";"PRESENCIAL";"PRESENCIAL";"PRESENCIAL"}, MATCH(CONCATENATE(E970, ".", F970),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71" spans="1:42" x14ac:dyDescent="0.25">
      <c r="A971" s="1" t="s">
        <v>27</v>
      </c>
      <c r="B971" s="1" t="s">
        <v>52</v>
      </c>
      <c r="C971" s="1" t="s">
        <v>29</v>
      </c>
      <c r="D971" s="1" t="s">
        <v>53</v>
      </c>
      <c r="E971" s="1" t="s">
        <v>120</v>
      </c>
      <c r="F971" s="1" t="s">
        <v>21</v>
      </c>
      <c r="G971" s="1" t="s">
        <v>161</v>
      </c>
      <c r="H971" s="1" t="s">
        <v>162</v>
      </c>
      <c r="I971" s="1" t="s">
        <v>124</v>
      </c>
      <c r="J971" s="1" t="s">
        <v>125</v>
      </c>
      <c r="K971" s="1" t="s">
        <v>259</v>
      </c>
      <c r="L971" s="1">
        <v>3144904</v>
      </c>
      <c r="M971" s="1" t="s">
        <v>1138</v>
      </c>
      <c r="N971" s="5">
        <f>DATE(2024,7,1)</f>
        <v>45474</v>
      </c>
      <c r="O971" s="5">
        <f>DATE(2024,9,30)</f>
        <v>45565</v>
      </c>
      <c r="P971" s="5">
        <f t="shared" si="351"/>
        <v>45565</v>
      </c>
      <c r="Q971" s="1">
        <v>20</v>
      </c>
      <c r="R971" s="1">
        <v>1600</v>
      </c>
      <c r="S971" s="1">
        <f t="shared" si="352"/>
        <v>20</v>
      </c>
      <c r="T971" s="1">
        <v>1</v>
      </c>
      <c r="U971" s="1" t="str">
        <f t="shared" si="353"/>
        <v>SIM</v>
      </c>
      <c r="V971" s="1">
        <f t="shared" si="354"/>
        <v>92</v>
      </c>
      <c r="W971" s="4">
        <f t="shared" si="355"/>
        <v>0.21739130434782608</v>
      </c>
      <c r="X971" s="4">
        <f t="shared" si="356"/>
        <v>20</v>
      </c>
      <c r="Y971" s="4">
        <f t="shared" si="357"/>
        <v>2.5000000000000001E-2</v>
      </c>
      <c r="AB971" s="5">
        <f t="shared" si="358"/>
        <v>45292</v>
      </c>
      <c r="AC971" s="5">
        <f t="shared" si="359"/>
        <v>45657</v>
      </c>
      <c r="AD971" s="1">
        <v>19</v>
      </c>
      <c r="AE971" s="1">
        <f t="shared" si="360"/>
        <v>0</v>
      </c>
      <c r="AF971" s="1">
        <f t="shared" si="361"/>
        <v>0</v>
      </c>
      <c r="AG971" s="1">
        <f t="shared" si="362"/>
        <v>0</v>
      </c>
      <c r="AH971" s="1">
        <f t="shared" si="363"/>
        <v>92</v>
      </c>
      <c r="AI971" s="1">
        <f t="shared" si="364"/>
        <v>0</v>
      </c>
      <c r="AJ971" s="3">
        <f t="shared" si="365"/>
        <v>1</v>
      </c>
      <c r="AK971" s="3">
        <f t="shared" si="366"/>
        <v>2.5000000000000001E-2</v>
      </c>
      <c r="AL971" s="3">
        <f t="shared" si="367"/>
        <v>0.47500000000000003</v>
      </c>
      <c r="AM971" s="3">
        <f t="shared" si="368"/>
        <v>0.47500000000000003</v>
      </c>
      <c r="AN971" s="3">
        <f t="shared" si="369"/>
        <v>0</v>
      </c>
      <c r="AO971" s="3">
        <f t="shared" si="370"/>
        <v>0.47500000000000003</v>
      </c>
      <c r="AP971" s="1" t="str">
        <f>INDEX({"EAD";"EAD";"EAD";"EAD MOOC";"EAD";"EAD";"EAD FP";"EAD";"PRESENCIAL";"PRESENCIAL";"PRESENCIAL";"PRESENCIAL"}, MATCH(CONCATENATE(E971, ".", F971),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72" spans="1:42" x14ac:dyDescent="0.25">
      <c r="A972" s="1" t="s">
        <v>27</v>
      </c>
      <c r="B972" s="1" t="s">
        <v>52</v>
      </c>
      <c r="C972" s="1" t="s">
        <v>29</v>
      </c>
      <c r="D972" s="1" t="s">
        <v>53</v>
      </c>
      <c r="E972" s="1" t="s">
        <v>120</v>
      </c>
      <c r="F972" s="1" t="s">
        <v>21</v>
      </c>
      <c r="G972" s="1" t="s">
        <v>161</v>
      </c>
      <c r="H972" s="1" t="s">
        <v>984</v>
      </c>
      <c r="I972" s="1" t="s">
        <v>228</v>
      </c>
      <c r="J972" s="1" t="s">
        <v>125</v>
      </c>
      <c r="K972" s="1" t="s">
        <v>259</v>
      </c>
      <c r="L972" s="1">
        <v>3145087</v>
      </c>
      <c r="M972" s="1" t="s">
        <v>1139</v>
      </c>
      <c r="N972" s="5">
        <f>DATE(2024,7,20)</f>
        <v>45493</v>
      </c>
      <c r="O972" s="5">
        <f>DATE(2024,10,20)</f>
        <v>45585</v>
      </c>
      <c r="P972" s="5">
        <f t="shared" si="351"/>
        <v>45585</v>
      </c>
      <c r="Q972" s="1">
        <v>40</v>
      </c>
      <c r="R972" s="1">
        <v>160</v>
      </c>
      <c r="S972" s="1">
        <f t="shared" si="352"/>
        <v>40</v>
      </c>
      <c r="T972" s="1">
        <v>1</v>
      </c>
      <c r="U972" s="1" t="str">
        <f t="shared" si="353"/>
        <v>SIM</v>
      </c>
      <c r="V972" s="1">
        <f t="shared" si="354"/>
        <v>93</v>
      </c>
      <c r="W972" s="4">
        <f t="shared" si="355"/>
        <v>0.43010752688172044</v>
      </c>
      <c r="X972" s="4">
        <f t="shared" si="356"/>
        <v>40</v>
      </c>
      <c r="Y972" s="4">
        <f t="shared" si="357"/>
        <v>0.05</v>
      </c>
      <c r="AB972" s="5">
        <f t="shared" si="358"/>
        <v>45292</v>
      </c>
      <c r="AC972" s="5">
        <f t="shared" si="359"/>
        <v>45657</v>
      </c>
      <c r="AD972" s="1">
        <v>19</v>
      </c>
      <c r="AE972" s="1">
        <f t="shared" si="360"/>
        <v>0</v>
      </c>
      <c r="AF972" s="1">
        <f t="shared" si="361"/>
        <v>0</v>
      </c>
      <c r="AG972" s="1">
        <f t="shared" si="362"/>
        <v>0</v>
      </c>
      <c r="AH972" s="1">
        <f t="shared" si="363"/>
        <v>93</v>
      </c>
      <c r="AI972" s="1">
        <f t="shared" si="364"/>
        <v>0</v>
      </c>
      <c r="AJ972" s="3">
        <f t="shared" si="365"/>
        <v>1</v>
      </c>
      <c r="AK972" s="3">
        <f t="shared" si="366"/>
        <v>0.05</v>
      </c>
      <c r="AL972" s="3">
        <f t="shared" si="367"/>
        <v>0.95000000000000007</v>
      </c>
      <c r="AM972" s="3">
        <f t="shared" si="368"/>
        <v>0.95000000000000007</v>
      </c>
      <c r="AN972" s="3">
        <f t="shared" si="369"/>
        <v>0</v>
      </c>
      <c r="AO972" s="3">
        <f t="shared" si="370"/>
        <v>0.95000000000000007</v>
      </c>
      <c r="AP972" s="1" t="str">
        <f>INDEX({"EAD";"EAD";"EAD";"EAD MOOC";"EAD";"EAD";"EAD FP";"EAD";"PRESENCIAL";"PRESENCIAL";"PRESENCIAL";"PRESENCIAL"}, MATCH(CONCATENATE(E972, ".", F972),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73" spans="1:42" x14ac:dyDescent="0.25">
      <c r="A973" s="1" t="s">
        <v>27</v>
      </c>
      <c r="B973" s="1" t="s">
        <v>52</v>
      </c>
      <c r="C973" s="1" t="s">
        <v>29</v>
      </c>
      <c r="D973" s="1" t="s">
        <v>53</v>
      </c>
      <c r="E973" s="1" t="s">
        <v>120</v>
      </c>
      <c r="F973" s="1" t="s">
        <v>21</v>
      </c>
      <c r="G973" s="1" t="s">
        <v>161</v>
      </c>
      <c r="H973" s="1" t="s">
        <v>162</v>
      </c>
      <c r="I973" s="1" t="s">
        <v>124</v>
      </c>
      <c r="J973" s="1" t="s">
        <v>125</v>
      </c>
      <c r="K973" s="1" t="s">
        <v>109</v>
      </c>
      <c r="L973" s="1">
        <v>3166025</v>
      </c>
      <c r="M973" s="1" t="s">
        <v>1140</v>
      </c>
      <c r="N973" s="5">
        <f>DATE(2024,9,2)</f>
        <v>45537</v>
      </c>
      <c r="O973" s="5">
        <f>DATE(2024,10,31)</f>
        <v>45596</v>
      </c>
      <c r="P973" s="5">
        <f t="shared" si="351"/>
        <v>45596</v>
      </c>
      <c r="Q973" s="1">
        <v>20</v>
      </c>
      <c r="R973" s="1">
        <v>1600</v>
      </c>
      <c r="S973" s="1">
        <f t="shared" si="352"/>
        <v>20</v>
      </c>
      <c r="T973" s="1">
        <v>1</v>
      </c>
      <c r="U973" s="1" t="str">
        <f t="shared" si="353"/>
        <v>SIM</v>
      </c>
      <c r="V973" s="1">
        <f t="shared" si="354"/>
        <v>60</v>
      </c>
      <c r="W973" s="4">
        <f t="shared" si="355"/>
        <v>0.33333333333333331</v>
      </c>
      <c r="X973" s="4">
        <f t="shared" si="356"/>
        <v>20</v>
      </c>
      <c r="Y973" s="4">
        <f t="shared" si="357"/>
        <v>2.5000000000000001E-2</v>
      </c>
      <c r="AB973" s="5">
        <f t="shared" si="358"/>
        <v>45292</v>
      </c>
      <c r="AC973" s="5">
        <f t="shared" si="359"/>
        <v>45657</v>
      </c>
      <c r="AD973" s="1">
        <v>18</v>
      </c>
      <c r="AE973" s="1">
        <f t="shared" si="360"/>
        <v>0</v>
      </c>
      <c r="AF973" s="1">
        <f t="shared" si="361"/>
        <v>0</v>
      </c>
      <c r="AG973" s="1">
        <f t="shared" si="362"/>
        <v>0</v>
      </c>
      <c r="AH973" s="1">
        <f t="shared" si="363"/>
        <v>60</v>
      </c>
      <c r="AI973" s="1">
        <f t="shared" si="364"/>
        <v>0</v>
      </c>
      <c r="AJ973" s="3">
        <f t="shared" si="365"/>
        <v>1</v>
      </c>
      <c r="AK973" s="3">
        <f t="shared" si="366"/>
        <v>2.5000000000000001E-2</v>
      </c>
      <c r="AL973" s="3">
        <f t="shared" si="367"/>
        <v>0.45</v>
      </c>
      <c r="AM973" s="3">
        <f t="shared" si="368"/>
        <v>0.45</v>
      </c>
      <c r="AN973" s="3">
        <f t="shared" si="369"/>
        <v>0</v>
      </c>
      <c r="AO973" s="3">
        <f t="shared" si="370"/>
        <v>0.45</v>
      </c>
      <c r="AP973" s="1" t="str">
        <f>INDEX({"EAD";"EAD";"EAD";"EAD MOOC";"EAD";"EAD";"EAD FP";"EAD";"PRESENCIAL";"PRESENCIAL";"PRESENCIAL";"PRESENCIAL"}, MATCH(CONCATENATE(E973, ".", F973),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74" spans="1:42" x14ac:dyDescent="0.25">
      <c r="A974" s="1" t="s">
        <v>27</v>
      </c>
      <c r="B974" s="1" t="s">
        <v>52</v>
      </c>
      <c r="C974" s="1" t="s">
        <v>29</v>
      </c>
      <c r="D974" s="1" t="s">
        <v>53</v>
      </c>
      <c r="E974" s="1" t="s">
        <v>120</v>
      </c>
      <c r="F974" s="1" t="s">
        <v>21</v>
      </c>
      <c r="G974" s="1" t="s">
        <v>161</v>
      </c>
      <c r="H974" s="1" t="s">
        <v>1141</v>
      </c>
      <c r="I974" s="1" t="s">
        <v>1142</v>
      </c>
      <c r="J974" s="1" t="s">
        <v>125</v>
      </c>
      <c r="K974" s="1" t="s">
        <v>109</v>
      </c>
      <c r="L974" s="1">
        <v>3166129</v>
      </c>
      <c r="M974" s="1" t="s">
        <v>1143</v>
      </c>
      <c r="N974" s="5">
        <f>DATE(2024,10,1)</f>
        <v>45566</v>
      </c>
      <c r="O974" s="5">
        <f>DATE(2024,11,30)</f>
        <v>45626</v>
      </c>
      <c r="P974" s="5">
        <f t="shared" si="351"/>
        <v>45626</v>
      </c>
      <c r="Q974" s="1">
        <v>40</v>
      </c>
      <c r="R974" s="1">
        <v>160</v>
      </c>
      <c r="S974" s="1">
        <f t="shared" si="352"/>
        <v>40</v>
      </c>
      <c r="T974" s="1">
        <v>1</v>
      </c>
      <c r="U974" s="1" t="str">
        <f t="shared" si="353"/>
        <v>SIM</v>
      </c>
      <c r="V974" s="1">
        <f t="shared" si="354"/>
        <v>61</v>
      </c>
      <c r="W974" s="4">
        <f t="shared" si="355"/>
        <v>0.65573770491803274</v>
      </c>
      <c r="X974" s="4">
        <f t="shared" si="356"/>
        <v>40</v>
      </c>
      <c r="Y974" s="4">
        <f t="shared" si="357"/>
        <v>0.05</v>
      </c>
      <c r="AB974" s="5">
        <f t="shared" si="358"/>
        <v>45292</v>
      </c>
      <c r="AC974" s="5">
        <f t="shared" si="359"/>
        <v>45657</v>
      </c>
      <c r="AD974" s="1">
        <v>20</v>
      </c>
      <c r="AE974" s="1">
        <f t="shared" si="360"/>
        <v>0</v>
      </c>
      <c r="AF974" s="1">
        <f t="shared" si="361"/>
        <v>0</v>
      </c>
      <c r="AG974" s="1">
        <f t="shared" si="362"/>
        <v>0</v>
      </c>
      <c r="AH974" s="1">
        <f t="shared" si="363"/>
        <v>61</v>
      </c>
      <c r="AI974" s="1">
        <f t="shared" si="364"/>
        <v>0</v>
      </c>
      <c r="AJ974" s="3">
        <f t="shared" si="365"/>
        <v>1</v>
      </c>
      <c r="AK974" s="3">
        <f t="shared" si="366"/>
        <v>0.05</v>
      </c>
      <c r="AL974" s="3">
        <f t="shared" si="367"/>
        <v>1</v>
      </c>
      <c r="AM974" s="3">
        <f t="shared" si="368"/>
        <v>1</v>
      </c>
      <c r="AN974" s="3">
        <f t="shared" si="369"/>
        <v>0</v>
      </c>
      <c r="AO974" s="3">
        <f t="shared" si="370"/>
        <v>1</v>
      </c>
      <c r="AP974" s="1" t="str">
        <f>INDEX({"EAD";"EAD";"EAD";"EAD MOOC";"EAD";"EAD";"EAD FP";"EAD";"PRESENCIAL";"PRESENCIAL";"PRESENCIAL";"PRESENCIAL"}, MATCH(CONCATENATE(E974, ".", F974),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75" spans="1:42" x14ac:dyDescent="0.25">
      <c r="A975" s="1" t="s">
        <v>27</v>
      </c>
      <c r="B975" s="1" t="s">
        <v>54</v>
      </c>
      <c r="C975" s="1" t="s">
        <v>29</v>
      </c>
      <c r="D975" s="1" t="s">
        <v>55</v>
      </c>
      <c r="E975" s="1" t="s">
        <v>120</v>
      </c>
      <c r="F975" s="1" t="s">
        <v>21</v>
      </c>
      <c r="G975" s="1" t="s">
        <v>121</v>
      </c>
      <c r="H975" s="1" t="s">
        <v>508</v>
      </c>
      <c r="I975" s="1" t="s">
        <v>503</v>
      </c>
      <c r="J975" s="1" t="s">
        <v>125</v>
      </c>
      <c r="K975" s="1" t="s">
        <v>109</v>
      </c>
      <c r="L975" s="1">
        <v>1980884</v>
      </c>
      <c r="M975" s="1" t="s">
        <v>1144</v>
      </c>
      <c r="N975" s="5">
        <f>DATE(2015,2,2)</f>
        <v>42037</v>
      </c>
      <c r="O975" s="5">
        <f>DATE(2019,12,20)</f>
        <v>43819</v>
      </c>
      <c r="P975" s="5">
        <f t="shared" si="351"/>
        <v>44914</v>
      </c>
      <c r="Q975" s="1">
        <v>4909</v>
      </c>
      <c r="R975" s="1">
        <v>3600</v>
      </c>
      <c r="S975" s="1">
        <f t="shared" si="352"/>
        <v>3600</v>
      </c>
      <c r="T975" s="1">
        <v>2.5</v>
      </c>
      <c r="U975" s="1" t="str">
        <f t="shared" si="353"/>
        <v>NÃO</v>
      </c>
      <c r="V975" s="1">
        <f t="shared" si="354"/>
        <v>1783</v>
      </c>
      <c r="W975" s="4">
        <f t="shared" si="355"/>
        <v>2.0190689848569825</v>
      </c>
      <c r="X975" s="4">
        <f t="shared" si="356"/>
        <v>736.96017947279859</v>
      </c>
      <c r="Y975" s="4">
        <f t="shared" si="357"/>
        <v>0.92120022434099824</v>
      </c>
      <c r="AB975" s="5">
        <f t="shared" si="358"/>
        <v>45292</v>
      </c>
      <c r="AC975" s="5">
        <f t="shared" si="359"/>
        <v>45657</v>
      </c>
      <c r="AD975" s="1">
        <v>1</v>
      </c>
      <c r="AE975" s="1">
        <f t="shared" si="360"/>
        <v>0</v>
      </c>
      <c r="AF975" s="1">
        <f t="shared" si="361"/>
        <v>0</v>
      </c>
      <c r="AG975" s="1">
        <f t="shared" si="362"/>
        <v>0</v>
      </c>
      <c r="AH975" s="1">
        <f t="shared" si="363"/>
        <v>0</v>
      </c>
      <c r="AI975" s="1">
        <f t="shared" si="364"/>
        <v>183</v>
      </c>
      <c r="AJ975" s="3">
        <f t="shared" si="365"/>
        <v>0.5</v>
      </c>
      <c r="AK975" s="3">
        <f t="shared" si="366"/>
        <v>0.46060011217049912</v>
      </c>
      <c r="AL975" s="3">
        <f t="shared" si="367"/>
        <v>0</v>
      </c>
      <c r="AM975" s="3">
        <f t="shared" si="368"/>
        <v>0</v>
      </c>
      <c r="AN975" s="3">
        <f t="shared" si="369"/>
        <v>0</v>
      </c>
      <c r="AO975" s="3">
        <f t="shared" si="370"/>
        <v>0</v>
      </c>
      <c r="AP975" s="1" t="str">
        <f>INDEX({"EAD";"EAD";"EAD";"EAD MOOC";"EAD";"EAD";"EAD FP";"EAD";"PRESENCIAL";"PRESENCIAL";"PRESENCIAL";"PRESENCIAL"}, MATCH(CONCATENATE(E975, ".", F975),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76" spans="1:42" x14ac:dyDescent="0.25">
      <c r="A976" s="1" t="s">
        <v>27</v>
      </c>
      <c r="B976" s="1" t="s">
        <v>54</v>
      </c>
      <c r="C976" s="1" t="s">
        <v>29</v>
      </c>
      <c r="D976" s="1" t="s">
        <v>55</v>
      </c>
      <c r="E976" s="1" t="s">
        <v>120</v>
      </c>
      <c r="F976" s="1" t="s">
        <v>21</v>
      </c>
      <c r="G976" s="1" t="s">
        <v>121</v>
      </c>
      <c r="H976" s="1" t="s">
        <v>508</v>
      </c>
      <c r="I976" s="1" t="s">
        <v>503</v>
      </c>
      <c r="J976" s="1" t="s">
        <v>125</v>
      </c>
      <c r="K976" s="1" t="s">
        <v>109</v>
      </c>
      <c r="L976" s="1">
        <v>2025916</v>
      </c>
      <c r="M976" s="1" t="s">
        <v>1145</v>
      </c>
      <c r="N976" s="5">
        <f>DATE(2016,3,21)</f>
        <v>42450</v>
      </c>
      <c r="O976" s="5">
        <f>DATE(2020,12,20)</f>
        <v>44185</v>
      </c>
      <c r="P976" s="5">
        <f t="shared" si="351"/>
        <v>45280</v>
      </c>
      <c r="Q976" s="1">
        <v>4909</v>
      </c>
      <c r="R976" s="1">
        <v>3600</v>
      </c>
      <c r="S976" s="1">
        <f t="shared" si="352"/>
        <v>3600</v>
      </c>
      <c r="T976" s="1">
        <v>2.5</v>
      </c>
      <c r="U976" s="1" t="str">
        <f t="shared" si="353"/>
        <v>NÃO</v>
      </c>
      <c r="V976" s="1">
        <f t="shared" si="354"/>
        <v>1736</v>
      </c>
      <c r="W976" s="4">
        <f t="shared" si="355"/>
        <v>2.0737327188940093</v>
      </c>
      <c r="X976" s="4">
        <f t="shared" si="356"/>
        <v>756.91244239631339</v>
      </c>
      <c r="Y976" s="4">
        <f t="shared" si="357"/>
        <v>0.94614055299539179</v>
      </c>
      <c r="AB976" s="5">
        <f t="shared" si="358"/>
        <v>45292</v>
      </c>
      <c r="AC976" s="5">
        <f t="shared" si="359"/>
        <v>45657</v>
      </c>
      <c r="AE976" s="1">
        <f t="shared" si="360"/>
        <v>0</v>
      </c>
      <c r="AF976" s="1">
        <f t="shared" si="361"/>
        <v>0</v>
      </c>
      <c r="AG976" s="1">
        <f t="shared" si="362"/>
        <v>0</v>
      </c>
      <c r="AH976" s="1">
        <f t="shared" si="363"/>
        <v>0</v>
      </c>
      <c r="AI976" s="1">
        <f t="shared" si="364"/>
        <v>183</v>
      </c>
      <c r="AJ976" s="3">
        <f t="shared" si="365"/>
        <v>0.5</v>
      </c>
      <c r="AK976" s="3">
        <f t="shared" si="366"/>
        <v>0.4730702764976959</v>
      </c>
      <c r="AL976" s="3">
        <f t="shared" si="367"/>
        <v>0</v>
      </c>
      <c r="AM976" s="3">
        <f t="shared" si="368"/>
        <v>0</v>
      </c>
      <c r="AN976" s="3">
        <f t="shared" si="369"/>
        <v>0</v>
      </c>
      <c r="AO976" s="3">
        <f t="shared" si="370"/>
        <v>0</v>
      </c>
      <c r="AP976" s="1" t="str">
        <f>INDEX({"EAD";"EAD";"EAD";"EAD MOOC";"EAD";"EAD";"EAD FP";"EAD";"PRESENCIAL";"PRESENCIAL";"PRESENCIAL";"PRESENCIAL"}, MATCH(CONCATENATE(E976, ".", F976),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77" spans="1:42" x14ac:dyDescent="0.25">
      <c r="A977" s="1" t="s">
        <v>27</v>
      </c>
      <c r="B977" s="1" t="s">
        <v>54</v>
      </c>
      <c r="C977" s="1" t="s">
        <v>29</v>
      </c>
      <c r="D977" s="1" t="s">
        <v>55</v>
      </c>
      <c r="E977" s="1" t="s">
        <v>120</v>
      </c>
      <c r="F977" s="1" t="s">
        <v>21</v>
      </c>
      <c r="G977" s="1" t="s">
        <v>140</v>
      </c>
      <c r="H977" s="1" t="s">
        <v>1146</v>
      </c>
      <c r="I977" s="1" t="s">
        <v>209</v>
      </c>
      <c r="J977" s="1" t="s">
        <v>125</v>
      </c>
      <c r="K977" s="1" t="s">
        <v>109</v>
      </c>
      <c r="L977" s="1">
        <v>2025919</v>
      </c>
      <c r="M977" s="1" t="s">
        <v>1147</v>
      </c>
      <c r="N977" s="5">
        <f>DATE(2016,4,23)</f>
        <v>42483</v>
      </c>
      <c r="O977" s="5">
        <f>DATE(2018,12,21)</f>
        <v>43455</v>
      </c>
      <c r="P977" s="5">
        <f t="shared" si="351"/>
        <v>44550</v>
      </c>
      <c r="Q977" s="1">
        <v>2160</v>
      </c>
      <c r="R977" s="1">
        <v>2000</v>
      </c>
      <c r="S977" s="1">
        <f t="shared" si="352"/>
        <v>2000</v>
      </c>
      <c r="T977" s="1">
        <v>1.5</v>
      </c>
      <c r="U977" s="1" t="str">
        <f t="shared" si="353"/>
        <v>NÃO</v>
      </c>
      <c r="V977" s="1">
        <f t="shared" si="354"/>
        <v>973</v>
      </c>
      <c r="W977" s="4">
        <f t="shared" si="355"/>
        <v>2.0554984583761562</v>
      </c>
      <c r="X977" s="4">
        <f t="shared" si="356"/>
        <v>750.25693730729699</v>
      </c>
      <c r="Y977" s="4">
        <f t="shared" si="357"/>
        <v>0.93782117163412126</v>
      </c>
      <c r="AB977" s="5">
        <f t="shared" si="358"/>
        <v>45292</v>
      </c>
      <c r="AC977" s="5">
        <f t="shared" si="359"/>
        <v>45657</v>
      </c>
      <c r="AD977" s="1">
        <v>1</v>
      </c>
      <c r="AE977" s="1">
        <f t="shared" si="360"/>
        <v>0</v>
      </c>
      <c r="AF977" s="1">
        <f t="shared" si="361"/>
        <v>0</v>
      </c>
      <c r="AG977" s="1">
        <f t="shared" si="362"/>
        <v>0</v>
      </c>
      <c r="AH977" s="1">
        <f t="shared" si="363"/>
        <v>0</v>
      </c>
      <c r="AI977" s="1">
        <f t="shared" si="364"/>
        <v>183</v>
      </c>
      <c r="AJ977" s="3">
        <f t="shared" si="365"/>
        <v>0.5</v>
      </c>
      <c r="AK977" s="3">
        <f t="shared" si="366"/>
        <v>0.46891058581706063</v>
      </c>
      <c r="AL977" s="3">
        <f t="shared" si="367"/>
        <v>0</v>
      </c>
      <c r="AM977" s="3">
        <f t="shared" si="368"/>
        <v>0</v>
      </c>
      <c r="AN977" s="3">
        <f t="shared" si="369"/>
        <v>0</v>
      </c>
      <c r="AO977" s="3">
        <f t="shared" si="370"/>
        <v>0</v>
      </c>
      <c r="AP977" s="1" t="str">
        <f>INDEX({"EAD";"EAD";"EAD";"EAD MOOC";"EAD";"EAD";"EAD FP";"EAD";"PRESENCIAL";"PRESENCIAL";"PRESENCIAL";"PRESENCIAL"}, MATCH(CONCATENATE(E977, ".", F977),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78" spans="1:42" x14ac:dyDescent="0.25">
      <c r="A978" s="1" t="s">
        <v>27</v>
      </c>
      <c r="B978" s="1" t="s">
        <v>54</v>
      </c>
      <c r="C978" s="1" t="s">
        <v>29</v>
      </c>
      <c r="D978" s="1" t="s">
        <v>55</v>
      </c>
      <c r="E978" s="1" t="s">
        <v>120</v>
      </c>
      <c r="F978" s="1" t="s">
        <v>21</v>
      </c>
      <c r="G978" s="1" t="s">
        <v>121</v>
      </c>
      <c r="H978" s="1" t="s">
        <v>508</v>
      </c>
      <c r="I978" s="1" t="s">
        <v>503</v>
      </c>
      <c r="J978" s="1" t="s">
        <v>125</v>
      </c>
      <c r="K978" s="1" t="s">
        <v>109</v>
      </c>
      <c r="L978" s="1">
        <v>2159914</v>
      </c>
      <c r="M978" s="1" t="s">
        <v>1148</v>
      </c>
      <c r="N978" s="5">
        <f>DATE(2017,4,3)</f>
        <v>42828</v>
      </c>
      <c r="O978" s="5">
        <f>DATE(2021,12,22)</f>
        <v>44552</v>
      </c>
      <c r="P978" s="5">
        <f t="shared" si="351"/>
        <v>45647</v>
      </c>
      <c r="Q978" s="1">
        <v>4909</v>
      </c>
      <c r="R978" s="1">
        <v>3600</v>
      </c>
      <c r="S978" s="1">
        <f t="shared" si="352"/>
        <v>3600</v>
      </c>
      <c r="T978" s="1">
        <v>2.5</v>
      </c>
      <c r="U978" s="1" t="str">
        <f t="shared" si="353"/>
        <v>SIM</v>
      </c>
      <c r="V978" s="1">
        <f t="shared" si="354"/>
        <v>1725</v>
      </c>
      <c r="W978" s="4">
        <f t="shared" si="355"/>
        <v>2.0869565217391304</v>
      </c>
      <c r="X978" s="4">
        <f t="shared" si="356"/>
        <v>761.73913043478262</v>
      </c>
      <c r="Y978" s="4">
        <f t="shared" si="357"/>
        <v>0.95217391304347831</v>
      </c>
      <c r="AB978" s="5">
        <f t="shared" si="358"/>
        <v>45292</v>
      </c>
      <c r="AC978" s="5">
        <f t="shared" si="359"/>
        <v>45657</v>
      </c>
      <c r="AD978" s="1">
        <v>3</v>
      </c>
      <c r="AE978" s="1">
        <f t="shared" si="360"/>
        <v>0</v>
      </c>
      <c r="AF978" s="1">
        <f t="shared" si="361"/>
        <v>0</v>
      </c>
      <c r="AG978" s="1">
        <f t="shared" si="362"/>
        <v>0</v>
      </c>
      <c r="AH978" s="1">
        <f t="shared" si="363"/>
        <v>0</v>
      </c>
      <c r="AI978" s="1">
        <f t="shared" si="364"/>
        <v>183</v>
      </c>
      <c r="AJ978" s="3">
        <f t="shared" si="365"/>
        <v>0.5</v>
      </c>
      <c r="AK978" s="3">
        <f t="shared" si="366"/>
        <v>0.47608695652173916</v>
      </c>
      <c r="AL978" s="3">
        <f t="shared" si="367"/>
        <v>0.71413043478260874</v>
      </c>
      <c r="AM978" s="3">
        <f t="shared" si="368"/>
        <v>1.785326086956522</v>
      </c>
      <c r="AN978" s="3">
        <f t="shared" si="369"/>
        <v>0</v>
      </c>
      <c r="AO978" s="3">
        <f t="shared" si="370"/>
        <v>1.785326086956522</v>
      </c>
      <c r="AP978" s="1" t="str">
        <f>INDEX({"EAD";"EAD";"EAD";"EAD MOOC";"EAD";"EAD";"EAD FP";"EAD";"PRESENCIAL";"PRESENCIAL";"PRESENCIAL";"PRESENCIAL"}, MATCH(CONCATENATE(E978, ".", F978),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79" spans="1:42" x14ac:dyDescent="0.25">
      <c r="A979" s="1" t="s">
        <v>27</v>
      </c>
      <c r="B979" s="1" t="s">
        <v>54</v>
      </c>
      <c r="C979" s="1" t="s">
        <v>29</v>
      </c>
      <c r="D979" s="1" t="s">
        <v>55</v>
      </c>
      <c r="E979" s="1" t="s">
        <v>120</v>
      </c>
      <c r="F979" s="1" t="s">
        <v>21</v>
      </c>
      <c r="G979" s="1" t="s">
        <v>140</v>
      </c>
      <c r="H979" s="1" t="s">
        <v>1146</v>
      </c>
      <c r="I979" s="1" t="s">
        <v>209</v>
      </c>
      <c r="J979" s="1" t="s">
        <v>125</v>
      </c>
      <c r="K979" s="1" t="s">
        <v>109</v>
      </c>
      <c r="L979" s="1">
        <v>2159915</v>
      </c>
      <c r="M979" s="1" t="s">
        <v>1149</v>
      </c>
      <c r="N979" s="5">
        <f>DATE(2017,4,3)</f>
        <v>42828</v>
      </c>
      <c r="O979" s="5">
        <f>DATE(2019,12,22)</f>
        <v>43821</v>
      </c>
      <c r="P979" s="5">
        <f t="shared" si="351"/>
        <v>44916</v>
      </c>
      <c r="Q979" s="1">
        <v>2160</v>
      </c>
      <c r="R979" s="1">
        <v>2000</v>
      </c>
      <c r="S979" s="1">
        <f t="shared" si="352"/>
        <v>2000</v>
      </c>
      <c r="T979" s="1">
        <v>1.5</v>
      </c>
      <c r="U979" s="1" t="str">
        <f t="shared" si="353"/>
        <v>NÃO</v>
      </c>
      <c r="V979" s="1">
        <f t="shared" si="354"/>
        <v>994</v>
      </c>
      <c r="W979" s="4">
        <f t="shared" si="355"/>
        <v>2.0120724346076457</v>
      </c>
      <c r="X979" s="4">
        <f t="shared" si="356"/>
        <v>734.40643863179071</v>
      </c>
      <c r="Y979" s="4">
        <f t="shared" si="357"/>
        <v>0.91800804828973837</v>
      </c>
      <c r="AB979" s="5">
        <f t="shared" si="358"/>
        <v>45292</v>
      </c>
      <c r="AC979" s="5">
        <f t="shared" si="359"/>
        <v>45657</v>
      </c>
      <c r="AE979" s="1">
        <f t="shared" si="360"/>
        <v>0</v>
      </c>
      <c r="AF979" s="1">
        <f t="shared" si="361"/>
        <v>0</v>
      </c>
      <c r="AG979" s="1">
        <f t="shared" si="362"/>
        <v>0</v>
      </c>
      <c r="AH979" s="1">
        <f t="shared" si="363"/>
        <v>0</v>
      </c>
      <c r="AI979" s="1">
        <f t="shared" si="364"/>
        <v>183</v>
      </c>
      <c r="AJ979" s="3">
        <f t="shared" si="365"/>
        <v>0.5</v>
      </c>
      <c r="AK979" s="3">
        <f t="shared" si="366"/>
        <v>0.45900402414486918</v>
      </c>
      <c r="AL979" s="3">
        <f t="shared" si="367"/>
        <v>0</v>
      </c>
      <c r="AM979" s="3">
        <f t="shared" si="368"/>
        <v>0</v>
      </c>
      <c r="AN979" s="3">
        <f t="shared" si="369"/>
        <v>0</v>
      </c>
      <c r="AO979" s="3">
        <f t="shared" si="370"/>
        <v>0</v>
      </c>
      <c r="AP979" s="1" t="str">
        <f>INDEX({"EAD";"EAD";"EAD";"EAD MOOC";"EAD";"EAD";"EAD FP";"EAD";"PRESENCIAL";"PRESENCIAL";"PRESENCIAL";"PRESENCIAL"}, MATCH(CONCATENATE(E979, ".", F979),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80" spans="1:42" x14ac:dyDescent="0.25">
      <c r="A980" s="1" t="s">
        <v>27</v>
      </c>
      <c r="B980" s="1" t="s">
        <v>54</v>
      </c>
      <c r="C980" s="1" t="s">
        <v>29</v>
      </c>
      <c r="D980" s="1" t="s">
        <v>55</v>
      </c>
      <c r="E980" s="1" t="s">
        <v>120</v>
      </c>
      <c r="F980" s="1" t="s">
        <v>21</v>
      </c>
      <c r="G980" s="1" t="s">
        <v>278</v>
      </c>
      <c r="H980" s="1" t="s">
        <v>279</v>
      </c>
      <c r="I980" s="1" t="s">
        <v>172</v>
      </c>
      <c r="J980" s="1" t="s">
        <v>125</v>
      </c>
      <c r="K980" s="1" t="s">
        <v>109</v>
      </c>
      <c r="L980" s="1">
        <v>2160238</v>
      </c>
      <c r="M980" s="1" t="s">
        <v>1150</v>
      </c>
      <c r="N980" s="5">
        <f>DATE(2017,4,3)</f>
        <v>42828</v>
      </c>
      <c r="O980" s="5">
        <f>DATE(2020,12,22)</f>
        <v>44187</v>
      </c>
      <c r="P980" s="5">
        <f t="shared" si="351"/>
        <v>45282</v>
      </c>
      <c r="Q980" s="1">
        <v>3260</v>
      </c>
      <c r="R980" s="1">
        <v>3200</v>
      </c>
      <c r="S980" s="1">
        <f t="shared" si="352"/>
        <v>3200</v>
      </c>
      <c r="T980" s="1">
        <v>2.5</v>
      </c>
      <c r="U980" s="1" t="str">
        <f t="shared" si="353"/>
        <v>NÃO</v>
      </c>
      <c r="V980" s="1">
        <f t="shared" si="354"/>
        <v>1360</v>
      </c>
      <c r="W980" s="4">
        <f t="shared" si="355"/>
        <v>2.3529411764705883</v>
      </c>
      <c r="X980" s="4">
        <f t="shared" si="356"/>
        <v>858.82352941176475</v>
      </c>
      <c r="Y980" s="4">
        <f t="shared" si="357"/>
        <v>1.0735294117647058</v>
      </c>
      <c r="AB980" s="5">
        <f t="shared" si="358"/>
        <v>45292</v>
      </c>
      <c r="AC980" s="5">
        <f t="shared" si="359"/>
        <v>45657</v>
      </c>
      <c r="AD980" s="1">
        <v>2</v>
      </c>
      <c r="AE980" s="1">
        <f t="shared" si="360"/>
        <v>0</v>
      </c>
      <c r="AF980" s="1">
        <f t="shared" si="361"/>
        <v>0</v>
      </c>
      <c r="AG980" s="1">
        <f t="shared" si="362"/>
        <v>0</v>
      </c>
      <c r="AH980" s="1">
        <f t="shared" si="363"/>
        <v>0</v>
      </c>
      <c r="AI980" s="1">
        <f t="shared" si="364"/>
        <v>183</v>
      </c>
      <c r="AJ980" s="3">
        <f t="shared" si="365"/>
        <v>0.5</v>
      </c>
      <c r="AK980" s="3">
        <f t="shared" si="366"/>
        <v>0.53676470588235292</v>
      </c>
      <c r="AL980" s="3">
        <f t="shared" si="367"/>
        <v>0</v>
      </c>
      <c r="AM980" s="3">
        <f t="shared" si="368"/>
        <v>0</v>
      </c>
      <c r="AN980" s="3">
        <f t="shared" si="369"/>
        <v>0</v>
      </c>
      <c r="AO980" s="3">
        <f t="shared" si="370"/>
        <v>0</v>
      </c>
      <c r="AP980" s="1" t="str">
        <f>INDEX({"EAD";"EAD";"EAD";"EAD MOOC";"EAD";"EAD";"EAD FP";"EAD";"PRESENCIAL";"PRESENCIAL";"PRESENCIAL";"PRESENCIAL"}, MATCH(CONCATENATE(E980, ".", F980),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81" spans="1:42" x14ac:dyDescent="0.25">
      <c r="A981" s="1" t="s">
        <v>27</v>
      </c>
      <c r="B981" s="1" t="s">
        <v>54</v>
      </c>
      <c r="C981" s="1" t="s">
        <v>29</v>
      </c>
      <c r="D981" s="1" t="s">
        <v>55</v>
      </c>
      <c r="E981" s="1" t="s">
        <v>120</v>
      </c>
      <c r="F981" s="1" t="s">
        <v>21</v>
      </c>
      <c r="G981" s="1" t="s">
        <v>121</v>
      </c>
      <c r="H981" s="1" t="s">
        <v>508</v>
      </c>
      <c r="I981" s="1" t="s">
        <v>503</v>
      </c>
      <c r="J981" s="1" t="s">
        <v>125</v>
      </c>
      <c r="K981" s="1" t="s">
        <v>109</v>
      </c>
      <c r="L981" s="1">
        <v>2490853</v>
      </c>
      <c r="M981" s="1" t="s">
        <v>1151</v>
      </c>
      <c r="N981" s="5">
        <f>DATE(2018,3,20)</f>
        <v>43179</v>
      </c>
      <c r="O981" s="5">
        <f>DATE(2022,12,23)</f>
        <v>44918</v>
      </c>
      <c r="P981" s="5">
        <f t="shared" si="351"/>
        <v>46013</v>
      </c>
      <c r="Q981" s="1">
        <v>4909</v>
      </c>
      <c r="R981" s="1">
        <v>3600</v>
      </c>
      <c r="S981" s="1">
        <f t="shared" si="352"/>
        <v>3600</v>
      </c>
      <c r="T981" s="1">
        <v>2.5</v>
      </c>
      <c r="U981" s="1" t="str">
        <f t="shared" si="353"/>
        <v>SIM</v>
      </c>
      <c r="V981" s="1">
        <f t="shared" si="354"/>
        <v>1740</v>
      </c>
      <c r="W981" s="4">
        <f t="shared" si="355"/>
        <v>2.0689655172413794</v>
      </c>
      <c r="X981" s="4">
        <f t="shared" si="356"/>
        <v>755.17241379310349</v>
      </c>
      <c r="Y981" s="4">
        <f t="shared" si="357"/>
        <v>0.94396551724137934</v>
      </c>
      <c r="AB981" s="5">
        <f t="shared" si="358"/>
        <v>45292</v>
      </c>
      <c r="AC981" s="5">
        <f t="shared" si="359"/>
        <v>45657</v>
      </c>
      <c r="AD981" s="1">
        <v>10</v>
      </c>
      <c r="AE981" s="1">
        <f t="shared" si="360"/>
        <v>0</v>
      </c>
      <c r="AF981" s="1">
        <f t="shared" si="361"/>
        <v>0</v>
      </c>
      <c r="AG981" s="1">
        <f t="shared" si="362"/>
        <v>0</v>
      </c>
      <c r="AH981" s="1">
        <f t="shared" si="363"/>
        <v>0</v>
      </c>
      <c r="AI981" s="1">
        <f t="shared" si="364"/>
        <v>183</v>
      </c>
      <c r="AJ981" s="3">
        <f t="shared" si="365"/>
        <v>0.5</v>
      </c>
      <c r="AK981" s="3">
        <f t="shared" si="366"/>
        <v>0.47198275862068967</v>
      </c>
      <c r="AL981" s="3">
        <f t="shared" si="367"/>
        <v>2.3599137931034484</v>
      </c>
      <c r="AM981" s="3">
        <f t="shared" si="368"/>
        <v>5.899784482758621</v>
      </c>
      <c r="AN981" s="3">
        <f t="shared" si="369"/>
        <v>0</v>
      </c>
      <c r="AO981" s="3">
        <f t="shared" si="370"/>
        <v>5.899784482758621</v>
      </c>
      <c r="AP981" s="1" t="str">
        <f>INDEX({"EAD";"EAD";"EAD";"EAD MOOC";"EAD";"EAD";"EAD FP";"EAD";"PRESENCIAL";"PRESENCIAL";"PRESENCIAL";"PRESENCIAL"}, MATCH(CONCATENATE(E981, ".", F981),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82" spans="1:42" x14ac:dyDescent="0.25">
      <c r="A982" s="1" t="s">
        <v>27</v>
      </c>
      <c r="B982" s="1" t="s">
        <v>54</v>
      </c>
      <c r="C982" s="1" t="s">
        <v>29</v>
      </c>
      <c r="D982" s="1" t="s">
        <v>55</v>
      </c>
      <c r="E982" s="1" t="s">
        <v>120</v>
      </c>
      <c r="F982" s="1" t="s">
        <v>21</v>
      </c>
      <c r="G982" s="1" t="s">
        <v>140</v>
      </c>
      <c r="H982" s="1" t="s">
        <v>1146</v>
      </c>
      <c r="I982" s="1" t="s">
        <v>209</v>
      </c>
      <c r="J982" s="1" t="s">
        <v>125</v>
      </c>
      <c r="K982" s="1" t="s">
        <v>109</v>
      </c>
      <c r="L982" s="1">
        <v>2490857</v>
      </c>
      <c r="M982" s="1" t="s">
        <v>1152</v>
      </c>
      <c r="N982" s="5">
        <f>DATE(2018,3,20)</f>
        <v>43179</v>
      </c>
      <c r="O982" s="5">
        <f>DATE(2020,12,23)</f>
        <v>44188</v>
      </c>
      <c r="P982" s="5">
        <f t="shared" si="351"/>
        <v>45283</v>
      </c>
      <c r="Q982" s="1">
        <v>2160</v>
      </c>
      <c r="R982" s="1">
        <v>2000</v>
      </c>
      <c r="S982" s="1">
        <f t="shared" si="352"/>
        <v>2000</v>
      </c>
      <c r="T982" s="1">
        <v>1.5</v>
      </c>
      <c r="U982" s="1" t="str">
        <f t="shared" si="353"/>
        <v>NÃO</v>
      </c>
      <c r="V982" s="1">
        <f t="shared" si="354"/>
        <v>1010</v>
      </c>
      <c r="W982" s="4">
        <f t="shared" si="355"/>
        <v>1.9801980198019802</v>
      </c>
      <c r="X982" s="4">
        <f t="shared" si="356"/>
        <v>722.77227722772273</v>
      </c>
      <c r="Y982" s="4">
        <f t="shared" si="357"/>
        <v>0.90346534653465338</v>
      </c>
      <c r="AB982" s="5">
        <f t="shared" si="358"/>
        <v>45292</v>
      </c>
      <c r="AC982" s="5">
        <f t="shared" si="359"/>
        <v>45657</v>
      </c>
      <c r="AE982" s="1">
        <f t="shared" si="360"/>
        <v>0</v>
      </c>
      <c r="AF982" s="1">
        <f t="shared" si="361"/>
        <v>0</v>
      </c>
      <c r="AG982" s="1">
        <f t="shared" si="362"/>
        <v>0</v>
      </c>
      <c r="AH982" s="1">
        <f t="shared" si="363"/>
        <v>0</v>
      </c>
      <c r="AI982" s="1">
        <f t="shared" si="364"/>
        <v>183</v>
      </c>
      <c r="AJ982" s="3">
        <f t="shared" si="365"/>
        <v>0.5</v>
      </c>
      <c r="AK982" s="3">
        <f t="shared" si="366"/>
        <v>0.45173267326732669</v>
      </c>
      <c r="AL982" s="3">
        <f t="shared" si="367"/>
        <v>0</v>
      </c>
      <c r="AM982" s="3">
        <f t="shared" si="368"/>
        <v>0</v>
      </c>
      <c r="AN982" s="3">
        <f t="shared" si="369"/>
        <v>0</v>
      </c>
      <c r="AO982" s="3">
        <f t="shared" si="370"/>
        <v>0</v>
      </c>
      <c r="AP982" s="1" t="str">
        <f>INDEX({"EAD";"EAD";"EAD";"EAD MOOC";"EAD";"EAD";"EAD FP";"EAD";"PRESENCIAL";"PRESENCIAL";"PRESENCIAL";"PRESENCIAL"}, MATCH(CONCATENATE(E982, ".", F982),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83" spans="1:42" x14ac:dyDescent="0.25">
      <c r="A983" s="1" t="s">
        <v>27</v>
      </c>
      <c r="B983" s="1" t="s">
        <v>54</v>
      </c>
      <c r="C983" s="1" t="s">
        <v>29</v>
      </c>
      <c r="D983" s="1" t="s">
        <v>55</v>
      </c>
      <c r="E983" s="1" t="s">
        <v>120</v>
      </c>
      <c r="F983" s="1" t="s">
        <v>21</v>
      </c>
      <c r="G983" s="1" t="s">
        <v>128</v>
      </c>
      <c r="H983" s="1" t="s">
        <v>526</v>
      </c>
      <c r="I983" s="1" t="s">
        <v>503</v>
      </c>
      <c r="J983" s="1" t="s">
        <v>125</v>
      </c>
      <c r="K983" s="1" t="s">
        <v>163</v>
      </c>
      <c r="L983" s="1">
        <v>2491315</v>
      </c>
      <c r="M983" s="1" t="s">
        <v>1153</v>
      </c>
      <c r="N983" s="5">
        <f>DATE(2018,3,20)</f>
        <v>43179</v>
      </c>
      <c r="O983" s="5">
        <f>DATE(2019,12,23)</f>
        <v>43822</v>
      </c>
      <c r="P983" s="5">
        <f t="shared" si="351"/>
        <v>44917</v>
      </c>
      <c r="Q983" s="1">
        <v>1360</v>
      </c>
      <c r="R983" s="1">
        <v>1200</v>
      </c>
      <c r="S983" s="1">
        <f t="shared" si="352"/>
        <v>1200</v>
      </c>
      <c r="T983" s="1">
        <v>2.5</v>
      </c>
      <c r="U983" s="1" t="str">
        <f t="shared" si="353"/>
        <v>NÃO</v>
      </c>
      <c r="V983" s="1">
        <f t="shared" si="354"/>
        <v>644</v>
      </c>
      <c r="W983" s="4">
        <f t="shared" si="355"/>
        <v>1.8633540372670807</v>
      </c>
      <c r="X983" s="4">
        <f t="shared" si="356"/>
        <v>680.12422360248445</v>
      </c>
      <c r="Y983" s="4">
        <f t="shared" si="357"/>
        <v>0.85015527950310554</v>
      </c>
      <c r="AB983" s="5">
        <f t="shared" si="358"/>
        <v>45292</v>
      </c>
      <c r="AC983" s="5">
        <f t="shared" si="359"/>
        <v>45657</v>
      </c>
      <c r="AE983" s="1">
        <f t="shared" si="360"/>
        <v>0</v>
      </c>
      <c r="AF983" s="1">
        <f t="shared" si="361"/>
        <v>0</v>
      </c>
      <c r="AG983" s="1">
        <f t="shared" si="362"/>
        <v>0</v>
      </c>
      <c r="AH983" s="1">
        <f t="shared" si="363"/>
        <v>0</v>
      </c>
      <c r="AI983" s="1">
        <f t="shared" si="364"/>
        <v>183</v>
      </c>
      <c r="AJ983" s="3">
        <f t="shared" si="365"/>
        <v>0.5</v>
      </c>
      <c r="AK983" s="3">
        <f t="shared" si="366"/>
        <v>0.42507763975155277</v>
      </c>
      <c r="AL983" s="3">
        <f t="shared" si="367"/>
        <v>0</v>
      </c>
      <c r="AM983" s="3">
        <f t="shared" si="368"/>
        <v>0</v>
      </c>
      <c r="AN983" s="3">
        <f t="shared" si="369"/>
        <v>0</v>
      </c>
      <c r="AO983" s="3">
        <f t="shared" si="370"/>
        <v>0</v>
      </c>
      <c r="AP983" s="1" t="str">
        <f>INDEX({"EAD";"EAD";"EAD";"EAD MOOC";"EAD";"EAD";"EAD FP";"EAD";"PRESENCIAL";"PRESENCIAL";"PRESENCIAL";"PRESENCIAL"}, MATCH(CONCATENATE(E983, ".", F983),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84" spans="1:42" x14ac:dyDescent="0.25">
      <c r="A984" s="1" t="s">
        <v>27</v>
      </c>
      <c r="B984" s="1" t="s">
        <v>54</v>
      </c>
      <c r="C984" s="1" t="s">
        <v>29</v>
      </c>
      <c r="D984" s="1" t="s">
        <v>55</v>
      </c>
      <c r="E984" s="1" t="s">
        <v>120</v>
      </c>
      <c r="F984" s="1" t="s">
        <v>21</v>
      </c>
      <c r="G984" s="1" t="s">
        <v>278</v>
      </c>
      <c r="H984" s="1" t="s">
        <v>279</v>
      </c>
      <c r="I984" s="1" t="s">
        <v>172</v>
      </c>
      <c r="J984" s="1" t="s">
        <v>125</v>
      </c>
      <c r="K984" s="1" t="s">
        <v>109</v>
      </c>
      <c r="L984" s="1">
        <v>2490859</v>
      </c>
      <c r="M984" s="1" t="s">
        <v>1154</v>
      </c>
      <c r="N984" s="5">
        <f>DATE(2018,3,23)</f>
        <v>43182</v>
      </c>
      <c r="O984" s="5">
        <f>DATE(2021,12,23)</f>
        <v>44553</v>
      </c>
      <c r="P984" s="5">
        <f t="shared" si="351"/>
        <v>45648</v>
      </c>
      <c r="Q984" s="1">
        <v>3260</v>
      </c>
      <c r="R984" s="1">
        <v>3200</v>
      </c>
      <c r="S984" s="1">
        <f t="shared" si="352"/>
        <v>3200</v>
      </c>
      <c r="T984" s="1">
        <v>2.5</v>
      </c>
      <c r="U984" s="1" t="str">
        <f t="shared" si="353"/>
        <v>SIM</v>
      </c>
      <c r="V984" s="1">
        <f t="shared" si="354"/>
        <v>1372</v>
      </c>
      <c r="W984" s="4">
        <f t="shared" si="355"/>
        <v>2.3323615160349855</v>
      </c>
      <c r="X984" s="4">
        <f t="shared" si="356"/>
        <v>851.31195335276971</v>
      </c>
      <c r="Y984" s="4">
        <f t="shared" si="357"/>
        <v>1.064139941690962</v>
      </c>
      <c r="AB984" s="5">
        <f t="shared" si="358"/>
        <v>45292</v>
      </c>
      <c r="AC984" s="5">
        <f t="shared" si="359"/>
        <v>45657</v>
      </c>
      <c r="AD984" s="1">
        <v>6</v>
      </c>
      <c r="AE984" s="1">
        <f t="shared" si="360"/>
        <v>0</v>
      </c>
      <c r="AF984" s="1">
        <f t="shared" si="361"/>
        <v>0</v>
      </c>
      <c r="AG984" s="1">
        <f t="shared" si="362"/>
        <v>0</v>
      </c>
      <c r="AH984" s="1">
        <f t="shared" si="363"/>
        <v>0</v>
      </c>
      <c r="AI984" s="1">
        <f t="shared" si="364"/>
        <v>183</v>
      </c>
      <c r="AJ984" s="3">
        <f t="shared" si="365"/>
        <v>0.5</v>
      </c>
      <c r="AK984" s="3">
        <f t="shared" si="366"/>
        <v>0.53206997084548102</v>
      </c>
      <c r="AL984" s="3">
        <f t="shared" si="367"/>
        <v>1.5962099125364431</v>
      </c>
      <c r="AM984" s="3">
        <f t="shared" si="368"/>
        <v>3.9905247813411076</v>
      </c>
      <c r="AN984" s="3">
        <f t="shared" si="369"/>
        <v>0</v>
      </c>
      <c r="AO984" s="3">
        <f t="shared" si="370"/>
        <v>3.9905247813411076</v>
      </c>
      <c r="AP984" s="1" t="str">
        <f>INDEX({"EAD";"EAD";"EAD";"EAD MOOC";"EAD";"EAD";"EAD FP";"EAD";"PRESENCIAL";"PRESENCIAL";"PRESENCIAL";"PRESENCIAL"}, MATCH(CONCATENATE(E984, ".", F984),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85" spans="1:42" x14ac:dyDescent="0.25">
      <c r="A985" s="1" t="s">
        <v>27</v>
      </c>
      <c r="B985" s="1" t="s">
        <v>54</v>
      </c>
      <c r="C985" s="1" t="s">
        <v>29</v>
      </c>
      <c r="D985" s="1" t="s">
        <v>55</v>
      </c>
      <c r="E985" s="1" t="s">
        <v>120</v>
      </c>
      <c r="F985" s="1" t="s">
        <v>21</v>
      </c>
      <c r="G985" s="1" t="s">
        <v>128</v>
      </c>
      <c r="H985" s="1" t="s">
        <v>526</v>
      </c>
      <c r="I985" s="1" t="s">
        <v>503</v>
      </c>
      <c r="J985" s="1" t="s">
        <v>125</v>
      </c>
      <c r="K985" s="1" t="s">
        <v>130</v>
      </c>
      <c r="L985" s="1">
        <v>2575502</v>
      </c>
      <c r="M985" s="1" t="s">
        <v>1155</v>
      </c>
      <c r="N985" s="5">
        <f>DATE(2019,2,4)</f>
        <v>43500</v>
      </c>
      <c r="O985" s="5">
        <f>DATE(2021,12,23)</f>
        <v>44553</v>
      </c>
      <c r="P985" s="5">
        <f t="shared" si="351"/>
        <v>45648</v>
      </c>
      <c r="Q985" s="1">
        <v>3672</v>
      </c>
      <c r="R985" s="1">
        <v>1200</v>
      </c>
      <c r="S985" s="1">
        <f t="shared" si="352"/>
        <v>3200</v>
      </c>
      <c r="T985" s="1">
        <v>2.5</v>
      </c>
      <c r="U985" s="1" t="str">
        <f t="shared" si="353"/>
        <v>SIM</v>
      </c>
      <c r="V985" s="1">
        <f t="shared" si="354"/>
        <v>1054</v>
      </c>
      <c r="W985" s="4">
        <f t="shared" si="355"/>
        <v>3.0360531309297913</v>
      </c>
      <c r="X985" s="4">
        <f t="shared" si="356"/>
        <v>1108.1593927893739</v>
      </c>
      <c r="Y985" s="4">
        <f t="shared" si="357"/>
        <v>1.3851992409867173</v>
      </c>
      <c r="AB985" s="5">
        <f t="shared" si="358"/>
        <v>45292</v>
      </c>
      <c r="AC985" s="5">
        <f t="shared" si="359"/>
        <v>45657</v>
      </c>
      <c r="AD985" s="1">
        <v>1</v>
      </c>
      <c r="AE985" s="1">
        <f t="shared" si="360"/>
        <v>0</v>
      </c>
      <c r="AF985" s="1">
        <f t="shared" si="361"/>
        <v>0</v>
      </c>
      <c r="AG985" s="1">
        <f t="shared" si="362"/>
        <v>0</v>
      </c>
      <c r="AH985" s="1">
        <f t="shared" si="363"/>
        <v>0</v>
      </c>
      <c r="AI985" s="1">
        <f t="shared" si="364"/>
        <v>183</v>
      </c>
      <c r="AJ985" s="3">
        <f t="shared" si="365"/>
        <v>0.5</v>
      </c>
      <c r="AK985" s="3">
        <f t="shared" si="366"/>
        <v>0.69259962049335866</v>
      </c>
      <c r="AL985" s="3">
        <f t="shared" si="367"/>
        <v>0.34629981024667933</v>
      </c>
      <c r="AM985" s="3">
        <f t="shared" si="368"/>
        <v>0.86574952561669827</v>
      </c>
      <c r="AN985" s="3">
        <f t="shared" si="369"/>
        <v>0</v>
      </c>
      <c r="AO985" s="3">
        <f t="shared" si="370"/>
        <v>0.86574952561669827</v>
      </c>
      <c r="AP985" s="1" t="str">
        <f>INDEX({"EAD";"EAD";"EAD";"EAD MOOC";"EAD";"EAD";"EAD FP";"EAD";"PRESENCIAL";"PRESENCIAL";"PRESENCIAL";"PRESENCIAL"}, MATCH(CONCATENATE(E985, ".", F985),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86" spans="1:42" x14ac:dyDescent="0.25">
      <c r="A986" s="1" t="s">
        <v>27</v>
      </c>
      <c r="B986" s="1" t="s">
        <v>54</v>
      </c>
      <c r="C986" s="1" t="s">
        <v>29</v>
      </c>
      <c r="D986" s="1" t="s">
        <v>55</v>
      </c>
      <c r="E986" s="1" t="s">
        <v>120</v>
      </c>
      <c r="F986" s="1" t="s">
        <v>21</v>
      </c>
      <c r="G986" s="1" t="s">
        <v>121</v>
      </c>
      <c r="H986" s="1" t="s">
        <v>508</v>
      </c>
      <c r="I986" s="1" t="s">
        <v>503</v>
      </c>
      <c r="J986" s="1" t="s">
        <v>125</v>
      </c>
      <c r="K986" s="1" t="s">
        <v>109</v>
      </c>
      <c r="L986" s="1">
        <v>2575926</v>
      </c>
      <c r="M986" s="1" t="s">
        <v>1156</v>
      </c>
      <c r="N986" s="5">
        <f>DATE(2019,2,4)</f>
        <v>43500</v>
      </c>
      <c r="O986" s="5">
        <f>DATE(2023,12,22)</f>
        <v>45282</v>
      </c>
      <c r="P986" s="5">
        <f t="shared" si="351"/>
        <v>46377</v>
      </c>
      <c r="Q986" s="1">
        <v>4909</v>
      </c>
      <c r="R986" s="1">
        <v>3600</v>
      </c>
      <c r="S986" s="1">
        <f t="shared" si="352"/>
        <v>3600</v>
      </c>
      <c r="T986" s="1">
        <v>2.5</v>
      </c>
      <c r="U986" s="1" t="str">
        <f t="shared" si="353"/>
        <v>SIM</v>
      </c>
      <c r="V986" s="1">
        <f t="shared" si="354"/>
        <v>1783</v>
      </c>
      <c r="W986" s="4">
        <f t="shared" si="355"/>
        <v>2.0190689848569825</v>
      </c>
      <c r="X986" s="4">
        <f t="shared" si="356"/>
        <v>736.96017947279859</v>
      </c>
      <c r="Y986" s="4">
        <f t="shared" si="357"/>
        <v>0.92120022434099824</v>
      </c>
      <c r="AB986" s="5">
        <f t="shared" si="358"/>
        <v>45292</v>
      </c>
      <c r="AC986" s="5">
        <f t="shared" si="359"/>
        <v>45657</v>
      </c>
      <c r="AD986" s="1">
        <v>27</v>
      </c>
      <c r="AE986" s="1">
        <f t="shared" si="360"/>
        <v>0</v>
      </c>
      <c r="AF986" s="1">
        <f t="shared" si="361"/>
        <v>0</v>
      </c>
      <c r="AG986" s="1">
        <f t="shared" si="362"/>
        <v>0</v>
      </c>
      <c r="AH986" s="1">
        <f t="shared" si="363"/>
        <v>0</v>
      </c>
      <c r="AI986" s="1">
        <f t="shared" si="364"/>
        <v>183</v>
      </c>
      <c r="AJ986" s="3">
        <f t="shared" si="365"/>
        <v>0.5</v>
      </c>
      <c r="AK986" s="3">
        <f t="shared" si="366"/>
        <v>0.46060011217049912</v>
      </c>
      <c r="AL986" s="3">
        <f t="shared" si="367"/>
        <v>6.218101514301738</v>
      </c>
      <c r="AM986" s="3">
        <f t="shared" si="368"/>
        <v>15.545253785754344</v>
      </c>
      <c r="AN986" s="3">
        <f t="shared" si="369"/>
        <v>0</v>
      </c>
      <c r="AO986" s="3">
        <f t="shared" si="370"/>
        <v>15.545253785754344</v>
      </c>
      <c r="AP986" s="1" t="str">
        <f>INDEX({"EAD";"EAD";"EAD";"EAD MOOC";"EAD";"EAD";"EAD FP";"EAD";"PRESENCIAL";"PRESENCIAL";"PRESENCIAL";"PRESENCIAL"}, MATCH(CONCATENATE(E986, ".", F986),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87" spans="1:42" x14ac:dyDescent="0.25">
      <c r="A987" s="1" t="s">
        <v>27</v>
      </c>
      <c r="B987" s="1" t="s">
        <v>54</v>
      </c>
      <c r="C987" s="1" t="s">
        <v>29</v>
      </c>
      <c r="D987" s="1" t="s">
        <v>55</v>
      </c>
      <c r="E987" s="1" t="s">
        <v>120</v>
      </c>
      <c r="F987" s="1" t="s">
        <v>21</v>
      </c>
      <c r="G987" s="1" t="s">
        <v>140</v>
      </c>
      <c r="H987" s="1" t="s">
        <v>1146</v>
      </c>
      <c r="I987" s="1" t="s">
        <v>209</v>
      </c>
      <c r="J987" s="1" t="s">
        <v>125</v>
      </c>
      <c r="K987" s="1" t="s">
        <v>109</v>
      </c>
      <c r="L987" s="1">
        <v>2575971</v>
      </c>
      <c r="M987" s="1" t="s">
        <v>1157</v>
      </c>
      <c r="N987" s="5">
        <f>DATE(2019,2,4)</f>
        <v>43500</v>
      </c>
      <c r="O987" s="5">
        <f>DATE(2021,12,23)</f>
        <v>44553</v>
      </c>
      <c r="P987" s="5">
        <f t="shared" si="351"/>
        <v>45648</v>
      </c>
      <c r="Q987" s="1">
        <v>2160</v>
      </c>
      <c r="R987" s="1">
        <v>2000</v>
      </c>
      <c r="S987" s="1">
        <f t="shared" si="352"/>
        <v>2000</v>
      </c>
      <c r="T987" s="1">
        <v>1.5</v>
      </c>
      <c r="U987" s="1" t="str">
        <f t="shared" si="353"/>
        <v>SIM</v>
      </c>
      <c r="V987" s="1">
        <f t="shared" si="354"/>
        <v>1054</v>
      </c>
      <c r="W987" s="4">
        <f t="shared" si="355"/>
        <v>1.8975332068311195</v>
      </c>
      <c r="X987" s="4">
        <f t="shared" si="356"/>
        <v>692.59962049335866</v>
      </c>
      <c r="Y987" s="4">
        <f t="shared" si="357"/>
        <v>0.86574952561669827</v>
      </c>
      <c r="AB987" s="5">
        <f t="shared" si="358"/>
        <v>45292</v>
      </c>
      <c r="AC987" s="5">
        <f t="shared" si="359"/>
        <v>45657</v>
      </c>
      <c r="AD987" s="1">
        <v>8</v>
      </c>
      <c r="AE987" s="1">
        <f t="shared" si="360"/>
        <v>0</v>
      </c>
      <c r="AF987" s="1">
        <f t="shared" si="361"/>
        <v>0</v>
      </c>
      <c r="AG987" s="1">
        <f t="shared" si="362"/>
        <v>0</v>
      </c>
      <c r="AH987" s="1">
        <f t="shared" si="363"/>
        <v>0</v>
      </c>
      <c r="AI987" s="1">
        <f t="shared" si="364"/>
        <v>183</v>
      </c>
      <c r="AJ987" s="3">
        <f t="shared" si="365"/>
        <v>0.5</v>
      </c>
      <c r="AK987" s="3">
        <f t="shared" si="366"/>
        <v>0.43287476280834913</v>
      </c>
      <c r="AL987" s="3">
        <f t="shared" si="367"/>
        <v>1.7314990512333965</v>
      </c>
      <c r="AM987" s="3">
        <f t="shared" si="368"/>
        <v>2.5972485768500948</v>
      </c>
      <c r="AN987" s="3">
        <f t="shared" si="369"/>
        <v>0</v>
      </c>
      <c r="AO987" s="3">
        <f t="shared" si="370"/>
        <v>2.5972485768500948</v>
      </c>
      <c r="AP987" s="1" t="str">
        <f>INDEX({"EAD";"EAD";"EAD";"EAD MOOC";"EAD";"EAD";"EAD FP";"EAD";"PRESENCIAL";"PRESENCIAL";"PRESENCIAL";"PRESENCIAL"}, MATCH(CONCATENATE(E987, ".", F987),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88" spans="1:42" x14ac:dyDescent="0.25">
      <c r="A988" s="1" t="s">
        <v>27</v>
      </c>
      <c r="B988" s="1" t="s">
        <v>54</v>
      </c>
      <c r="C988" s="1" t="s">
        <v>29</v>
      </c>
      <c r="D988" s="1" t="s">
        <v>55</v>
      </c>
      <c r="E988" s="1" t="s">
        <v>120</v>
      </c>
      <c r="F988" s="1" t="s">
        <v>21</v>
      </c>
      <c r="G988" s="1" t="s">
        <v>278</v>
      </c>
      <c r="H988" s="1" t="s">
        <v>279</v>
      </c>
      <c r="I988" s="1" t="s">
        <v>172</v>
      </c>
      <c r="J988" s="1" t="s">
        <v>125</v>
      </c>
      <c r="K988" s="1" t="s">
        <v>109</v>
      </c>
      <c r="L988" s="1">
        <v>2575981</v>
      </c>
      <c r="M988" s="1" t="s">
        <v>1158</v>
      </c>
      <c r="N988" s="5">
        <f>DATE(2019,2,4)</f>
        <v>43500</v>
      </c>
      <c r="O988" s="5">
        <f>DATE(2022,12,22)</f>
        <v>44917</v>
      </c>
      <c r="P988" s="5">
        <f t="shared" si="351"/>
        <v>46012</v>
      </c>
      <c r="Q988" s="1">
        <v>3260</v>
      </c>
      <c r="R988" s="1">
        <v>3200</v>
      </c>
      <c r="S988" s="1">
        <f t="shared" si="352"/>
        <v>3200</v>
      </c>
      <c r="T988" s="1">
        <v>2.5</v>
      </c>
      <c r="U988" s="1" t="str">
        <f t="shared" si="353"/>
        <v>SIM</v>
      </c>
      <c r="V988" s="1">
        <f t="shared" si="354"/>
        <v>1418</v>
      </c>
      <c r="W988" s="4">
        <f t="shared" si="355"/>
        <v>2.2566995768688294</v>
      </c>
      <c r="X988" s="4">
        <f t="shared" si="356"/>
        <v>823.69534555712278</v>
      </c>
      <c r="Y988" s="4">
        <f t="shared" si="357"/>
        <v>1.0296191819464036</v>
      </c>
      <c r="AB988" s="5">
        <f t="shared" si="358"/>
        <v>45292</v>
      </c>
      <c r="AC988" s="5">
        <f t="shared" si="359"/>
        <v>45657</v>
      </c>
      <c r="AD988" s="1">
        <v>14</v>
      </c>
      <c r="AE988" s="1">
        <f t="shared" si="360"/>
        <v>0</v>
      </c>
      <c r="AF988" s="1">
        <f t="shared" si="361"/>
        <v>0</v>
      </c>
      <c r="AG988" s="1">
        <f t="shared" si="362"/>
        <v>0</v>
      </c>
      <c r="AH988" s="1">
        <f t="shared" si="363"/>
        <v>0</v>
      </c>
      <c r="AI988" s="1">
        <f t="shared" si="364"/>
        <v>183</v>
      </c>
      <c r="AJ988" s="3">
        <f t="shared" si="365"/>
        <v>0.5</v>
      </c>
      <c r="AK988" s="3">
        <f t="shared" si="366"/>
        <v>0.51480959097320178</v>
      </c>
      <c r="AL988" s="3">
        <f t="shared" si="367"/>
        <v>3.6036671368124127</v>
      </c>
      <c r="AM988" s="3">
        <f t="shared" si="368"/>
        <v>9.0091678420310313</v>
      </c>
      <c r="AN988" s="3">
        <f t="shared" si="369"/>
        <v>0</v>
      </c>
      <c r="AO988" s="3">
        <f t="shared" si="370"/>
        <v>9.0091678420310313</v>
      </c>
      <c r="AP988" s="1" t="str">
        <f>INDEX({"EAD";"EAD";"EAD";"EAD MOOC";"EAD";"EAD";"EAD FP";"EAD";"PRESENCIAL";"PRESENCIAL";"PRESENCIAL";"PRESENCIAL"}, MATCH(CONCATENATE(E988, ".", F988),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89" spans="1:42" x14ac:dyDescent="0.25">
      <c r="A989" s="1" t="s">
        <v>27</v>
      </c>
      <c r="B989" s="1" t="s">
        <v>54</v>
      </c>
      <c r="C989" s="1" t="s">
        <v>29</v>
      </c>
      <c r="D989" s="1" t="s">
        <v>55</v>
      </c>
      <c r="E989" s="1" t="s">
        <v>120</v>
      </c>
      <c r="F989" s="1" t="s">
        <v>21</v>
      </c>
      <c r="G989" s="1" t="s">
        <v>121</v>
      </c>
      <c r="H989" s="1" t="s">
        <v>508</v>
      </c>
      <c r="I989" s="1" t="s">
        <v>503</v>
      </c>
      <c r="J989" s="1" t="s">
        <v>125</v>
      </c>
      <c r="K989" s="1" t="s">
        <v>109</v>
      </c>
      <c r="L989" s="1">
        <v>2691293</v>
      </c>
      <c r="M989" s="1" t="s">
        <v>1159</v>
      </c>
      <c r="N989" s="5">
        <f t="shared" ref="N989:N994" si="371">DATE(2020,2,3)</f>
        <v>43864</v>
      </c>
      <c r="O989" s="5">
        <f>DATE(2024,12,20)</f>
        <v>45646</v>
      </c>
      <c r="P989" s="5">
        <f t="shared" si="351"/>
        <v>46741</v>
      </c>
      <c r="Q989" s="1">
        <v>3600</v>
      </c>
      <c r="R989" s="1">
        <v>3600</v>
      </c>
      <c r="S989" s="1">
        <f t="shared" si="352"/>
        <v>3600</v>
      </c>
      <c r="T989" s="1">
        <v>2.5</v>
      </c>
      <c r="U989" s="1" t="str">
        <f t="shared" si="353"/>
        <v>SIM</v>
      </c>
      <c r="V989" s="1">
        <f t="shared" si="354"/>
        <v>1783</v>
      </c>
      <c r="W989" s="4">
        <f t="shared" si="355"/>
        <v>2.0190689848569825</v>
      </c>
      <c r="X989" s="4">
        <f t="shared" si="356"/>
        <v>736.96017947279859</v>
      </c>
      <c r="Y989" s="4">
        <f t="shared" si="357"/>
        <v>0.92120022434099824</v>
      </c>
      <c r="AB989" s="5">
        <f t="shared" si="358"/>
        <v>45292</v>
      </c>
      <c r="AC989" s="5">
        <f t="shared" si="359"/>
        <v>45657</v>
      </c>
      <c r="AD989" s="1">
        <v>29</v>
      </c>
      <c r="AE989" s="1">
        <f t="shared" si="360"/>
        <v>0</v>
      </c>
      <c r="AF989" s="1">
        <f t="shared" si="361"/>
        <v>0</v>
      </c>
      <c r="AG989" s="1">
        <f t="shared" si="362"/>
        <v>355</v>
      </c>
      <c r="AH989" s="1">
        <f t="shared" si="363"/>
        <v>0</v>
      </c>
      <c r="AI989" s="1">
        <f t="shared" si="364"/>
        <v>0</v>
      </c>
      <c r="AJ989" s="3">
        <f t="shared" si="365"/>
        <v>0.9699453551912568</v>
      </c>
      <c r="AK989" s="3">
        <f t="shared" si="366"/>
        <v>0.89351387880069499</v>
      </c>
      <c r="AL989" s="3">
        <f t="shared" si="367"/>
        <v>25.911902485220153</v>
      </c>
      <c r="AM989" s="3">
        <f t="shared" si="368"/>
        <v>64.779756213050376</v>
      </c>
      <c r="AN989" s="3">
        <f t="shared" si="369"/>
        <v>0</v>
      </c>
      <c r="AO989" s="3">
        <f t="shared" si="370"/>
        <v>64.779756213050376</v>
      </c>
      <c r="AP989" s="1" t="str">
        <f>INDEX({"EAD";"EAD";"EAD";"EAD MOOC";"EAD";"EAD";"EAD FP";"EAD";"PRESENCIAL";"PRESENCIAL";"PRESENCIAL";"PRESENCIAL"}, MATCH(CONCATENATE(E989, ".", F989),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90" spans="1:42" x14ac:dyDescent="0.25">
      <c r="A990" s="1" t="s">
        <v>27</v>
      </c>
      <c r="B990" s="1" t="s">
        <v>54</v>
      </c>
      <c r="C990" s="1" t="s">
        <v>29</v>
      </c>
      <c r="D990" s="1" t="s">
        <v>55</v>
      </c>
      <c r="E990" s="1" t="s">
        <v>120</v>
      </c>
      <c r="F990" s="1" t="s">
        <v>21</v>
      </c>
      <c r="G990" s="1" t="s">
        <v>140</v>
      </c>
      <c r="H990" s="1" t="s">
        <v>1146</v>
      </c>
      <c r="I990" s="1" t="s">
        <v>209</v>
      </c>
      <c r="J990" s="1" t="s">
        <v>125</v>
      </c>
      <c r="K990" s="1" t="s">
        <v>109</v>
      </c>
      <c r="L990" s="1">
        <v>2691379</v>
      </c>
      <c r="M990" s="1" t="s">
        <v>1160</v>
      </c>
      <c r="N990" s="5">
        <f t="shared" si="371"/>
        <v>43864</v>
      </c>
      <c r="O990" s="5">
        <f>DATE(2022,12,20)</f>
        <v>44915</v>
      </c>
      <c r="P990" s="5">
        <f t="shared" si="351"/>
        <v>46010</v>
      </c>
      <c r="Q990" s="1">
        <v>2000</v>
      </c>
      <c r="R990" s="1">
        <v>2000</v>
      </c>
      <c r="S990" s="1">
        <f t="shared" si="352"/>
        <v>2000</v>
      </c>
      <c r="T990" s="1">
        <v>1.5</v>
      </c>
      <c r="U990" s="1" t="str">
        <f t="shared" si="353"/>
        <v>SIM</v>
      </c>
      <c r="V990" s="1">
        <f t="shared" si="354"/>
        <v>1052</v>
      </c>
      <c r="W990" s="4">
        <f t="shared" si="355"/>
        <v>1.9011406844106464</v>
      </c>
      <c r="X990" s="4">
        <f t="shared" si="356"/>
        <v>693.9163498098859</v>
      </c>
      <c r="Y990" s="4">
        <f t="shared" si="357"/>
        <v>0.86739543726235735</v>
      </c>
      <c r="AB990" s="5">
        <f t="shared" si="358"/>
        <v>45292</v>
      </c>
      <c r="AC990" s="5">
        <f t="shared" si="359"/>
        <v>45657</v>
      </c>
      <c r="AD990" s="1">
        <v>9</v>
      </c>
      <c r="AE990" s="1">
        <f t="shared" si="360"/>
        <v>0</v>
      </c>
      <c r="AF990" s="1">
        <f t="shared" si="361"/>
        <v>0</v>
      </c>
      <c r="AG990" s="1">
        <f t="shared" si="362"/>
        <v>0</v>
      </c>
      <c r="AH990" s="1">
        <f t="shared" si="363"/>
        <v>0</v>
      </c>
      <c r="AI990" s="1">
        <f t="shared" si="364"/>
        <v>183</v>
      </c>
      <c r="AJ990" s="3">
        <f t="shared" si="365"/>
        <v>0.5</v>
      </c>
      <c r="AK990" s="3">
        <f t="shared" si="366"/>
        <v>0.43369771863117867</v>
      </c>
      <c r="AL990" s="3">
        <f t="shared" si="367"/>
        <v>1.951639733840304</v>
      </c>
      <c r="AM990" s="3">
        <f t="shared" si="368"/>
        <v>2.9274596007604559</v>
      </c>
      <c r="AN990" s="3">
        <f t="shared" si="369"/>
        <v>0</v>
      </c>
      <c r="AO990" s="3">
        <f t="shared" si="370"/>
        <v>2.9274596007604559</v>
      </c>
      <c r="AP990" s="1" t="str">
        <f>INDEX({"EAD";"EAD";"EAD";"EAD MOOC";"EAD";"EAD";"EAD FP";"EAD";"PRESENCIAL";"PRESENCIAL";"PRESENCIAL";"PRESENCIAL"}, MATCH(CONCATENATE(E990, ".", F990),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91" spans="1:42" x14ac:dyDescent="0.25">
      <c r="A991" s="1" t="s">
        <v>27</v>
      </c>
      <c r="B991" s="1" t="s">
        <v>54</v>
      </c>
      <c r="C991" s="1" t="s">
        <v>29</v>
      </c>
      <c r="D991" s="1" t="s">
        <v>55</v>
      </c>
      <c r="E991" s="1" t="s">
        <v>120</v>
      </c>
      <c r="F991" s="1" t="s">
        <v>21</v>
      </c>
      <c r="G991" s="1" t="s">
        <v>278</v>
      </c>
      <c r="H991" s="1" t="s">
        <v>279</v>
      </c>
      <c r="I991" s="1" t="s">
        <v>172</v>
      </c>
      <c r="J991" s="1" t="s">
        <v>125</v>
      </c>
      <c r="K991" s="1" t="s">
        <v>109</v>
      </c>
      <c r="L991" s="1">
        <v>2691386</v>
      </c>
      <c r="M991" s="1" t="s">
        <v>1161</v>
      </c>
      <c r="N991" s="5">
        <f t="shared" si="371"/>
        <v>43864</v>
      </c>
      <c r="O991" s="5">
        <f>DATE(2023,12,20)</f>
        <v>45280</v>
      </c>
      <c r="P991" s="5">
        <f t="shared" si="351"/>
        <v>46375</v>
      </c>
      <c r="Q991" s="1">
        <v>2800</v>
      </c>
      <c r="R991" s="1">
        <v>3200</v>
      </c>
      <c r="S991" s="1">
        <f t="shared" si="352"/>
        <v>3200</v>
      </c>
      <c r="T991" s="1">
        <v>2.5</v>
      </c>
      <c r="U991" s="1" t="str">
        <f t="shared" si="353"/>
        <v>SIM</v>
      </c>
      <c r="V991" s="1">
        <f t="shared" si="354"/>
        <v>1417</v>
      </c>
      <c r="W991" s="4">
        <f t="shared" si="355"/>
        <v>1.9760056457304165</v>
      </c>
      <c r="X991" s="4">
        <f t="shared" si="356"/>
        <v>721.24206069160198</v>
      </c>
      <c r="Y991" s="4">
        <f t="shared" si="357"/>
        <v>0.90155257586450244</v>
      </c>
      <c r="AB991" s="5">
        <f t="shared" si="358"/>
        <v>45292</v>
      </c>
      <c r="AC991" s="5">
        <f t="shared" si="359"/>
        <v>45657</v>
      </c>
      <c r="AD991" s="1">
        <v>36</v>
      </c>
      <c r="AE991" s="1">
        <f t="shared" si="360"/>
        <v>0</v>
      </c>
      <c r="AF991" s="1">
        <f t="shared" si="361"/>
        <v>0</v>
      </c>
      <c r="AG991" s="1">
        <f t="shared" si="362"/>
        <v>0</v>
      </c>
      <c r="AH991" s="1">
        <f t="shared" si="363"/>
        <v>0</v>
      </c>
      <c r="AI991" s="1">
        <f t="shared" si="364"/>
        <v>183</v>
      </c>
      <c r="AJ991" s="3">
        <f t="shared" si="365"/>
        <v>0.5</v>
      </c>
      <c r="AK991" s="3">
        <f t="shared" si="366"/>
        <v>0.45077628793225122</v>
      </c>
      <c r="AL991" s="3">
        <f t="shared" si="367"/>
        <v>8.1139731827805228</v>
      </c>
      <c r="AM991" s="3">
        <f t="shared" si="368"/>
        <v>20.284932956951309</v>
      </c>
      <c r="AN991" s="3">
        <f t="shared" si="369"/>
        <v>0</v>
      </c>
      <c r="AO991" s="3">
        <f t="shared" si="370"/>
        <v>20.284932956951309</v>
      </c>
      <c r="AP991" s="1" t="str">
        <f>INDEX({"EAD";"EAD";"EAD";"EAD MOOC";"EAD";"EAD";"EAD FP";"EAD";"PRESENCIAL";"PRESENCIAL";"PRESENCIAL";"PRESENCIAL"}, MATCH(CONCATENATE(E991, ".", F991),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92" spans="1:42" x14ac:dyDescent="0.25">
      <c r="A992" s="1" t="s">
        <v>27</v>
      </c>
      <c r="B992" s="1" t="s">
        <v>54</v>
      </c>
      <c r="C992" s="1" t="s">
        <v>29</v>
      </c>
      <c r="D992" s="1" t="s">
        <v>55</v>
      </c>
      <c r="E992" s="1" t="s">
        <v>120</v>
      </c>
      <c r="F992" s="1" t="s">
        <v>21</v>
      </c>
      <c r="G992" s="1" t="s">
        <v>128</v>
      </c>
      <c r="H992" s="1" t="s">
        <v>1162</v>
      </c>
      <c r="I992" s="1" t="s">
        <v>209</v>
      </c>
      <c r="J992" s="1" t="s">
        <v>125</v>
      </c>
      <c r="K992" s="1" t="s">
        <v>130</v>
      </c>
      <c r="L992" s="1">
        <v>2737505</v>
      </c>
      <c r="M992" s="1" t="s">
        <v>1163</v>
      </c>
      <c r="N992" s="5">
        <f t="shared" si="371"/>
        <v>43864</v>
      </c>
      <c r="O992" s="5">
        <f>DATE(2022,12,31)</f>
        <v>44926</v>
      </c>
      <c r="P992" s="5">
        <f t="shared" si="351"/>
        <v>46021</v>
      </c>
      <c r="Q992" s="1">
        <v>3672</v>
      </c>
      <c r="R992" s="1">
        <v>1200</v>
      </c>
      <c r="S992" s="1">
        <f t="shared" si="352"/>
        <v>3200</v>
      </c>
      <c r="T992" s="1">
        <v>1.5</v>
      </c>
      <c r="U992" s="1" t="str">
        <f t="shared" si="353"/>
        <v>SIM</v>
      </c>
      <c r="V992" s="1">
        <f t="shared" si="354"/>
        <v>1063</v>
      </c>
      <c r="W992" s="4">
        <f t="shared" si="355"/>
        <v>3.0103480714957667</v>
      </c>
      <c r="X992" s="4">
        <f t="shared" si="356"/>
        <v>1098.7770460959548</v>
      </c>
      <c r="Y992" s="4">
        <f t="shared" si="357"/>
        <v>1.3734713076199434</v>
      </c>
      <c r="AB992" s="5">
        <f t="shared" si="358"/>
        <v>45292</v>
      </c>
      <c r="AC992" s="5">
        <f t="shared" si="359"/>
        <v>45657</v>
      </c>
      <c r="AD992" s="1">
        <v>1</v>
      </c>
      <c r="AE992" s="1">
        <f t="shared" si="360"/>
        <v>0</v>
      </c>
      <c r="AF992" s="1">
        <f t="shared" si="361"/>
        <v>0</v>
      </c>
      <c r="AG992" s="1">
        <f t="shared" si="362"/>
        <v>0</v>
      </c>
      <c r="AH992" s="1">
        <f t="shared" si="363"/>
        <v>0</v>
      </c>
      <c r="AI992" s="1">
        <f t="shared" si="364"/>
        <v>183</v>
      </c>
      <c r="AJ992" s="3">
        <f t="shared" si="365"/>
        <v>0.5</v>
      </c>
      <c r="AK992" s="3">
        <f t="shared" si="366"/>
        <v>0.6867356538099717</v>
      </c>
      <c r="AL992" s="3">
        <f t="shared" si="367"/>
        <v>0.34336782690498585</v>
      </c>
      <c r="AM992" s="3">
        <f t="shared" si="368"/>
        <v>0.5150517403574788</v>
      </c>
      <c r="AN992" s="3">
        <f t="shared" si="369"/>
        <v>0</v>
      </c>
      <c r="AO992" s="3">
        <f t="shared" si="370"/>
        <v>0.5150517403574788</v>
      </c>
      <c r="AP992" s="1" t="str">
        <f>INDEX({"EAD";"EAD";"EAD";"EAD MOOC";"EAD";"EAD";"EAD FP";"EAD";"PRESENCIAL";"PRESENCIAL";"PRESENCIAL";"PRESENCIAL"}, MATCH(CONCATENATE(E992, ".", F992),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93" spans="1:42" x14ac:dyDescent="0.25">
      <c r="A993" s="1" t="s">
        <v>27</v>
      </c>
      <c r="B993" s="1" t="s">
        <v>54</v>
      </c>
      <c r="C993" s="1" t="s">
        <v>29</v>
      </c>
      <c r="D993" s="1" t="s">
        <v>55</v>
      </c>
      <c r="E993" s="1" t="s">
        <v>120</v>
      </c>
      <c r="F993" s="1" t="s">
        <v>21</v>
      </c>
      <c r="G993" s="1" t="s">
        <v>128</v>
      </c>
      <c r="H993" s="1" t="s">
        <v>526</v>
      </c>
      <c r="I993" s="1" t="s">
        <v>503</v>
      </c>
      <c r="J993" s="1" t="s">
        <v>125</v>
      </c>
      <c r="K993" s="1" t="s">
        <v>130</v>
      </c>
      <c r="L993" s="1">
        <v>2737837</v>
      </c>
      <c r="M993" s="1" t="s">
        <v>1164</v>
      </c>
      <c r="N993" s="5">
        <f t="shared" si="371"/>
        <v>43864</v>
      </c>
      <c r="O993" s="5">
        <f>DATE(2022,12,31)</f>
        <v>44926</v>
      </c>
      <c r="P993" s="5">
        <f t="shared" si="351"/>
        <v>46021</v>
      </c>
      <c r="Q993" s="1">
        <v>3672</v>
      </c>
      <c r="R993" s="1">
        <v>1200</v>
      </c>
      <c r="S993" s="1">
        <f t="shared" si="352"/>
        <v>3200</v>
      </c>
      <c r="T993" s="1">
        <v>2.5</v>
      </c>
      <c r="U993" s="1" t="str">
        <f t="shared" si="353"/>
        <v>SIM</v>
      </c>
      <c r="V993" s="1">
        <f t="shared" si="354"/>
        <v>1063</v>
      </c>
      <c r="W993" s="4">
        <f t="shared" si="355"/>
        <v>3.0103480714957667</v>
      </c>
      <c r="X993" s="4">
        <f t="shared" si="356"/>
        <v>1098.7770460959548</v>
      </c>
      <c r="Y993" s="4">
        <f t="shared" si="357"/>
        <v>1.3734713076199434</v>
      </c>
      <c r="AB993" s="5">
        <f t="shared" si="358"/>
        <v>45292</v>
      </c>
      <c r="AC993" s="5">
        <f t="shared" si="359"/>
        <v>45657</v>
      </c>
      <c r="AD993" s="1">
        <v>1</v>
      </c>
      <c r="AE993" s="1">
        <f t="shared" si="360"/>
        <v>0</v>
      </c>
      <c r="AF993" s="1">
        <f t="shared" si="361"/>
        <v>0</v>
      </c>
      <c r="AG993" s="1">
        <f t="shared" si="362"/>
        <v>0</v>
      </c>
      <c r="AH993" s="1">
        <f t="shared" si="363"/>
        <v>0</v>
      </c>
      <c r="AI993" s="1">
        <f t="shared" si="364"/>
        <v>183</v>
      </c>
      <c r="AJ993" s="3">
        <f t="shared" si="365"/>
        <v>0.5</v>
      </c>
      <c r="AK993" s="3">
        <f t="shared" si="366"/>
        <v>0.6867356538099717</v>
      </c>
      <c r="AL993" s="3">
        <f t="shared" si="367"/>
        <v>0.34336782690498585</v>
      </c>
      <c r="AM993" s="3">
        <f t="shared" si="368"/>
        <v>0.8584195672624646</v>
      </c>
      <c r="AN993" s="3">
        <f t="shared" si="369"/>
        <v>0</v>
      </c>
      <c r="AO993" s="3">
        <f t="shared" si="370"/>
        <v>0.8584195672624646</v>
      </c>
      <c r="AP993" s="1" t="str">
        <f>INDEX({"EAD";"EAD";"EAD";"EAD MOOC";"EAD";"EAD";"EAD FP";"EAD";"PRESENCIAL";"PRESENCIAL";"PRESENCIAL";"PRESENCIAL"}, MATCH(CONCATENATE(E993, ".", F993),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94" spans="1:42" x14ac:dyDescent="0.25">
      <c r="A994" s="1" t="s">
        <v>27</v>
      </c>
      <c r="B994" s="1" t="s">
        <v>54</v>
      </c>
      <c r="C994" s="1" t="s">
        <v>29</v>
      </c>
      <c r="D994" s="1" t="s">
        <v>55</v>
      </c>
      <c r="E994" s="1" t="s">
        <v>120</v>
      </c>
      <c r="F994" s="1" t="s">
        <v>21</v>
      </c>
      <c r="G994" s="1" t="s">
        <v>128</v>
      </c>
      <c r="H994" s="1" t="s">
        <v>526</v>
      </c>
      <c r="I994" s="1" t="s">
        <v>503</v>
      </c>
      <c r="J994" s="1" t="s">
        <v>125</v>
      </c>
      <c r="K994" s="1" t="s">
        <v>163</v>
      </c>
      <c r="L994" s="1">
        <v>2737926</v>
      </c>
      <c r="M994" s="1" t="s">
        <v>1165</v>
      </c>
      <c r="N994" s="5">
        <f t="shared" si="371"/>
        <v>43864</v>
      </c>
      <c r="O994" s="5">
        <f>DATE(2021,12,31)</f>
        <v>44561</v>
      </c>
      <c r="P994" s="5">
        <f t="shared" si="351"/>
        <v>45656</v>
      </c>
      <c r="Q994" s="1">
        <v>1360</v>
      </c>
      <c r="R994" s="1">
        <v>1200</v>
      </c>
      <c r="S994" s="1">
        <f t="shared" si="352"/>
        <v>1200</v>
      </c>
      <c r="T994" s="1">
        <v>2.5</v>
      </c>
      <c r="U994" s="1" t="str">
        <f t="shared" si="353"/>
        <v>SIM</v>
      </c>
      <c r="V994" s="1">
        <f t="shared" si="354"/>
        <v>698</v>
      </c>
      <c r="W994" s="4">
        <f t="shared" si="355"/>
        <v>1.7191977077363896</v>
      </c>
      <c r="X994" s="4">
        <f t="shared" si="356"/>
        <v>627.50716332378215</v>
      </c>
      <c r="Y994" s="4">
        <f t="shared" si="357"/>
        <v>0.78438395415472772</v>
      </c>
      <c r="AB994" s="5">
        <f t="shared" si="358"/>
        <v>45292</v>
      </c>
      <c r="AC994" s="5">
        <f t="shared" si="359"/>
        <v>45657</v>
      </c>
      <c r="AD994" s="1">
        <v>2</v>
      </c>
      <c r="AE994" s="1">
        <f t="shared" si="360"/>
        <v>0</v>
      </c>
      <c r="AF994" s="1">
        <f t="shared" si="361"/>
        <v>0</v>
      </c>
      <c r="AG994" s="1">
        <f t="shared" si="362"/>
        <v>0</v>
      </c>
      <c r="AH994" s="1">
        <f t="shared" si="363"/>
        <v>0</v>
      </c>
      <c r="AI994" s="1">
        <f t="shared" si="364"/>
        <v>183</v>
      </c>
      <c r="AJ994" s="3">
        <f t="shared" si="365"/>
        <v>0.5</v>
      </c>
      <c r="AK994" s="3">
        <f t="shared" si="366"/>
        <v>0.39219197707736386</v>
      </c>
      <c r="AL994" s="3">
        <f t="shared" si="367"/>
        <v>0.39219197707736386</v>
      </c>
      <c r="AM994" s="3">
        <f t="shared" si="368"/>
        <v>0.98047994269340966</v>
      </c>
      <c r="AN994" s="3">
        <f t="shared" si="369"/>
        <v>0</v>
      </c>
      <c r="AO994" s="3">
        <f t="shared" si="370"/>
        <v>0.98047994269340966</v>
      </c>
      <c r="AP994" s="1" t="str">
        <f>INDEX({"EAD";"EAD";"EAD";"EAD MOOC";"EAD";"EAD";"EAD FP";"EAD";"PRESENCIAL";"PRESENCIAL";"PRESENCIAL";"PRESENCIAL"}, MATCH(CONCATENATE(E994, ".", F994),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95" spans="1:42" x14ac:dyDescent="0.25">
      <c r="A995" s="1" t="s">
        <v>27</v>
      </c>
      <c r="B995" s="1" t="s">
        <v>54</v>
      </c>
      <c r="C995" s="1" t="s">
        <v>29</v>
      </c>
      <c r="D995" s="1" t="s">
        <v>55</v>
      </c>
      <c r="E995" s="1" t="s">
        <v>120</v>
      </c>
      <c r="F995" s="1" t="s">
        <v>21</v>
      </c>
      <c r="G995" s="1" t="s">
        <v>128</v>
      </c>
      <c r="H995" s="1" t="s">
        <v>1166</v>
      </c>
      <c r="I995" s="1" t="s">
        <v>503</v>
      </c>
      <c r="J995" s="1" t="s">
        <v>125</v>
      </c>
      <c r="K995" s="1" t="s">
        <v>130</v>
      </c>
      <c r="L995" s="1">
        <v>2758426</v>
      </c>
      <c r="M995" s="1" t="s">
        <v>1167</v>
      </c>
      <c r="N995" s="5">
        <f>DATE(2021,2,3)</f>
        <v>44230</v>
      </c>
      <c r="O995" s="5">
        <f>DATE(2023,12,23)</f>
        <v>45283</v>
      </c>
      <c r="P995" s="5">
        <f t="shared" si="351"/>
        <v>46378</v>
      </c>
      <c r="Q995" s="1">
        <v>3706</v>
      </c>
      <c r="R995" s="1">
        <v>1200</v>
      </c>
      <c r="S995" s="1">
        <f t="shared" si="352"/>
        <v>3200</v>
      </c>
      <c r="T995" s="1">
        <v>2.5</v>
      </c>
      <c r="U995" s="1" t="str">
        <f t="shared" si="353"/>
        <v>SIM</v>
      </c>
      <c r="V995" s="1">
        <f t="shared" si="354"/>
        <v>1054</v>
      </c>
      <c r="W995" s="4">
        <f t="shared" si="355"/>
        <v>3.0360531309297913</v>
      </c>
      <c r="X995" s="4">
        <f t="shared" si="356"/>
        <v>1108.1593927893739</v>
      </c>
      <c r="Y995" s="4">
        <f t="shared" si="357"/>
        <v>1.3851992409867173</v>
      </c>
      <c r="AB995" s="5">
        <f t="shared" si="358"/>
        <v>45292</v>
      </c>
      <c r="AC995" s="5">
        <f t="shared" si="359"/>
        <v>45657</v>
      </c>
      <c r="AD995" s="1">
        <v>4</v>
      </c>
      <c r="AE995" s="1">
        <f t="shared" si="360"/>
        <v>0</v>
      </c>
      <c r="AF995" s="1">
        <f t="shared" si="361"/>
        <v>0</v>
      </c>
      <c r="AG995" s="1">
        <f t="shared" si="362"/>
        <v>0</v>
      </c>
      <c r="AH995" s="1">
        <f t="shared" si="363"/>
        <v>0</v>
      </c>
      <c r="AI995" s="1">
        <f t="shared" si="364"/>
        <v>183</v>
      </c>
      <c r="AJ995" s="3">
        <f t="shared" si="365"/>
        <v>0.5</v>
      </c>
      <c r="AK995" s="3">
        <f t="shared" si="366"/>
        <v>0.69259962049335866</v>
      </c>
      <c r="AL995" s="3">
        <f t="shared" si="367"/>
        <v>1.3851992409867173</v>
      </c>
      <c r="AM995" s="3">
        <f t="shared" si="368"/>
        <v>3.4629981024667931</v>
      </c>
      <c r="AN995" s="3">
        <f t="shared" si="369"/>
        <v>0</v>
      </c>
      <c r="AO995" s="3">
        <f t="shared" si="370"/>
        <v>3.4629981024667931</v>
      </c>
      <c r="AP995" s="1" t="str">
        <f>INDEX({"EAD";"EAD";"EAD";"EAD MOOC";"EAD";"EAD";"EAD FP";"EAD";"PRESENCIAL";"PRESENCIAL";"PRESENCIAL";"PRESENCIAL"}, MATCH(CONCATENATE(E995, ".", F995),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96" spans="1:42" x14ac:dyDescent="0.25">
      <c r="A996" s="1" t="s">
        <v>27</v>
      </c>
      <c r="B996" s="1" t="s">
        <v>54</v>
      </c>
      <c r="C996" s="1" t="s">
        <v>29</v>
      </c>
      <c r="D996" s="1" t="s">
        <v>55</v>
      </c>
      <c r="E996" s="1" t="s">
        <v>120</v>
      </c>
      <c r="F996" s="1" t="s">
        <v>21</v>
      </c>
      <c r="G996" s="1" t="s">
        <v>128</v>
      </c>
      <c r="H996" s="1" t="s">
        <v>526</v>
      </c>
      <c r="I996" s="1" t="s">
        <v>503</v>
      </c>
      <c r="J996" s="1" t="s">
        <v>125</v>
      </c>
      <c r="K996" s="1" t="s">
        <v>130</v>
      </c>
      <c r="L996" s="1">
        <v>2758428</v>
      </c>
      <c r="M996" s="1" t="s">
        <v>1168</v>
      </c>
      <c r="N996" s="5">
        <f>DATE(2021,2,3)</f>
        <v>44230</v>
      </c>
      <c r="O996" s="5">
        <f>DATE(2023,12,23)</f>
        <v>45283</v>
      </c>
      <c r="P996" s="5">
        <f t="shared" si="351"/>
        <v>46378</v>
      </c>
      <c r="Q996" s="1">
        <v>3672</v>
      </c>
      <c r="R996" s="1">
        <v>1200</v>
      </c>
      <c r="S996" s="1">
        <f t="shared" si="352"/>
        <v>3200</v>
      </c>
      <c r="T996" s="1">
        <v>2.5</v>
      </c>
      <c r="U996" s="1" t="str">
        <f t="shared" si="353"/>
        <v>SIM</v>
      </c>
      <c r="V996" s="1">
        <f t="shared" si="354"/>
        <v>1054</v>
      </c>
      <c r="W996" s="4">
        <f t="shared" si="355"/>
        <v>3.0360531309297913</v>
      </c>
      <c r="X996" s="4">
        <f t="shared" si="356"/>
        <v>1108.1593927893739</v>
      </c>
      <c r="Y996" s="4">
        <f t="shared" si="357"/>
        <v>1.3851992409867173</v>
      </c>
      <c r="AB996" s="5">
        <f t="shared" si="358"/>
        <v>45292</v>
      </c>
      <c r="AC996" s="5">
        <f t="shared" si="359"/>
        <v>45657</v>
      </c>
      <c r="AD996" s="1">
        <v>6</v>
      </c>
      <c r="AE996" s="1">
        <f t="shared" si="360"/>
        <v>0</v>
      </c>
      <c r="AF996" s="1">
        <f t="shared" si="361"/>
        <v>0</v>
      </c>
      <c r="AG996" s="1">
        <f t="shared" si="362"/>
        <v>0</v>
      </c>
      <c r="AH996" s="1">
        <f t="shared" si="363"/>
        <v>0</v>
      </c>
      <c r="AI996" s="1">
        <f t="shared" si="364"/>
        <v>183</v>
      </c>
      <c r="AJ996" s="3">
        <f t="shared" si="365"/>
        <v>0.5</v>
      </c>
      <c r="AK996" s="3">
        <f t="shared" si="366"/>
        <v>0.69259962049335866</v>
      </c>
      <c r="AL996" s="3">
        <f t="shared" si="367"/>
        <v>2.0777988614800762</v>
      </c>
      <c r="AM996" s="3">
        <f t="shared" si="368"/>
        <v>5.1944971537001905</v>
      </c>
      <c r="AN996" s="3">
        <f t="shared" si="369"/>
        <v>0</v>
      </c>
      <c r="AO996" s="3">
        <f t="shared" si="370"/>
        <v>5.1944971537001905</v>
      </c>
      <c r="AP996" s="1" t="str">
        <f>INDEX({"EAD";"EAD";"EAD";"EAD MOOC";"EAD";"EAD";"EAD FP";"EAD";"PRESENCIAL";"PRESENCIAL";"PRESENCIAL";"PRESENCIAL"}, MATCH(CONCATENATE(E996, ".", F996),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97" spans="1:42" x14ac:dyDescent="0.25">
      <c r="A997" s="1" t="s">
        <v>27</v>
      </c>
      <c r="B997" s="1" t="s">
        <v>54</v>
      </c>
      <c r="C997" s="1" t="s">
        <v>29</v>
      </c>
      <c r="D997" s="1" t="s">
        <v>55</v>
      </c>
      <c r="E997" s="1" t="s">
        <v>120</v>
      </c>
      <c r="F997" s="1" t="s">
        <v>21</v>
      </c>
      <c r="G997" s="1" t="s">
        <v>128</v>
      </c>
      <c r="H997" s="1" t="s">
        <v>1169</v>
      </c>
      <c r="I997" s="1" t="s">
        <v>124</v>
      </c>
      <c r="J997" s="1" t="s">
        <v>125</v>
      </c>
      <c r="K997" s="1" t="s">
        <v>130</v>
      </c>
      <c r="L997" s="1">
        <v>2758431</v>
      </c>
      <c r="M997" s="1" t="s">
        <v>1170</v>
      </c>
      <c r="N997" s="5">
        <f>DATE(2021,2,3)</f>
        <v>44230</v>
      </c>
      <c r="O997" s="5">
        <f>DATE(2023,12,23)</f>
        <v>45283</v>
      </c>
      <c r="P997" s="5">
        <f t="shared" si="351"/>
        <v>46378</v>
      </c>
      <c r="Q997" s="1">
        <v>3504</v>
      </c>
      <c r="R997" s="1">
        <v>800</v>
      </c>
      <c r="S997" s="1">
        <f t="shared" si="352"/>
        <v>3000</v>
      </c>
      <c r="T997" s="1">
        <v>1.5</v>
      </c>
      <c r="U997" s="1" t="str">
        <f t="shared" si="353"/>
        <v>SIM</v>
      </c>
      <c r="V997" s="1">
        <f t="shared" si="354"/>
        <v>1054</v>
      </c>
      <c r="W997" s="4">
        <f t="shared" si="355"/>
        <v>2.8462998102466792</v>
      </c>
      <c r="X997" s="4">
        <f t="shared" si="356"/>
        <v>1038.8994307400378</v>
      </c>
      <c r="Y997" s="4">
        <f t="shared" si="357"/>
        <v>1.2986242884250472</v>
      </c>
      <c r="AB997" s="5">
        <f t="shared" si="358"/>
        <v>45292</v>
      </c>
      <c r="AC997" s="5">
        <f t="shared" si="359"/>
        <v>45657</v>
      </c>
      <c r="AD997" s="1">
        <v>11</v>
      </c>
      <c r="AE997" s="1">
        <f t="shared" si="360"/>
        <v>0</v>
      </c>
      <c r="AF997" s="1">
        <f t="shared" si="361"/>
        <v>0</v>
      </c>
      <c r="AG997" s="1">
        <f t="shared" si="362"/>
        <v>0</v>
      </c>
      <c r="AH997" s="1">
        <f t="shared" si="363"/>
        <v>0</v>
      </c>
      <c r="AI997" s="1">
        <f t="shared" si="364"/>
        <v>183</v>
      </c>
      <c r="AJ997" s="3">
        <f t="shared" si="365"/>
        <v>0.5</v>
      </c>
      <c r="AK997" s="3">
        <f t="shared" si="366"/>
        <v>0.64931214421252359</v>
      </c>
      <c r="AL997" s="3">
        <f t="shared" si="367"/>
        <v>3.5712167931688796</v>
      </c>
      <c r="AM997" s="3">
        <f t="shared" si="368"/>
        <v>5.3568251897533194</v>
      </c>
      <c r="AN997" s="3">
        <f t="shared" si="369"/>
        <v>0</v>
      </c>
      <c r="AO997" s="3">
        <f t="shared" si="370"/>
        <v>5.3568251897533194</v>
      </c>
      <c r="AP997" s="1" t="str">
        <f>INDEX({"EAD";"EAD";"EAD";"EAD MOOC";"EAD";"EAD";"EAD FP";"EAD";"PRESENCIAL";"PRESENCIAL";"PRESENCIAL";"PRESENCIAL"}, MATCH(CONCATENATE(E997, ".", F997),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98" spans="1:42" x14ac:dyDescent="0.25">
      <c r="A998" s="1" t="s">
        <v>27</v>
      </c>
      <c r="B998" s="1" t="s">
        <v>54</v>
      </c>
      <c r="C998" s="1" t="s">
        <v>29</v>
      </c>
      <c r="D998" s="1" t="s">
        <v>55</v>
      </c>
      <c r="E998" s="1" t="s">
        <v>120</v>
      </c>
      <c r="F998" s="1" t="s">
        <v>21</v>
      </c>
      <c r="G998" s="1" t="s">
        <v>128</v>
      </c>
      <c r="H998" s="1" t="s">
        <v>1171</v>
      </c>
      <c r="I998" s="1" t="s">
        <v>503</v>
      </c>
      <c r="J998" s="1" t="s">
        <v>125</v>
      </c>
      <c r="K998" s="1" t="s">
        <v>163</v>
      </c>
      <c r="L998" s="1">
        <v>2771335</v>
      </c>
      <c r="M998" s="1" t="s">
        <v>1172</v>
      </c>
      <c r="N998" s="5">
        <f>DATE(2021,3,1)</f>
        <v>44256</v>
      </c>
      <c r="O998" s="5">
        <f>DATE(2022,12,23)</f>
        <v>44918</v>
      </c>
      <c r="P998" s="5">
        <f t="shared" si="351"/>
        <v>46013</v>
      </c>
      <c r="Q998" s="1">
        <v>1200</v>
      </c>
      <c r="R998" s="1">
        <v>1200</v>
      </c>
      <c r="S998" s="1">
        <f t="shared" si="352"/>
        <v>1200</v>
      </c>
      <c r="T998" s="1">
        <v>2.5</v>
      </c>
      <c r="U998" s="1" t="str">
        <f t="shared" si="353"/>
        <v>SIM</v>
      </c>
      <c r="V998" s="1">
        <f t="shared" si="354"/>
        <v>663</v>
      </c>
      <c r="W998" s="4">
        <f t="shared" si="355"/>
        <v>1.8099547511312217</v>
      </c>
      <c r="X998" s="4">
        <f t="shared" si="356"/>
        <v>660.63348416289591</v>
      </c>
      <c r="Y998" s="4">
        <f t="shared" si="357"/>
        <v>0.82579185520361986</v>
      </c>
      <c r="AB998" s="5">
        <f t="shared" si="358"/>
        <v>45292</v>
      </c>
      <c r="AC998" s="5">
        <f t="shared" si="359"/>
        <v>45657</v>
      </c>
      <c r="AD998" s="1">
        <v>5</v>
      </c>
      <c r="AE998" s="1">
        <f t="shared" si="360"/>
        <v>0</v>
      </c>
      <c r="AF998" s="1">
        <f t="shared" si="361"/>
        <v>0</v>
      </c>
      <c r="AG998" s="1">
        <f t="shared" si="362"/>
        <v>0</v>
      </c>
      <c r="AH998" s="1">
        <f t="shared" si="363"/>
        <v>0</v>
      </c>
      <c r="AI998" s="1">
        <f t="shared" si="364"/>
        <v>183</v>
      </c>
      <c r="AJ998" s="3">
        <f t="shared" si="365"/>
        <v>0.5</v>
      </c>
      <c r="AK998" s="3">
        <f t="shared" si="366"/>
        <v>0.41289592760180993</v>
      </c>
      <c r="AL998" s="3">
        <f t="shared" si="367"/>
        <v>1.0322398190045248</v>
      </c>
      <c r="AM998" s="3">
        <f t="shared" si="368"/>
        <v>2.5805995475113122</v>
      </c>
      <c r="AN998" s="3">
        <f t="shared" si="369"/>
        <v>0</v>
      </c>
      <c r="AO998" s="3">
        <f t="shared" si="370"/>
        <v>2.5805995475113122</v>
      </c>
      <c r="AP998" s="1" t="str">
        <f>INDEX({"EAD";"EAD";"EAD";"EAD MOOC";"EAD";"EAD";"EAD FP";"EAD";"PRESENCIAL";"PRESENCIAL";"PRESENCIAL";"PRESENCIAL"}, MATCH(CONCATENATE(E998, ".", F998),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999" spans="1:42" x14ac:dyDescent="0.25">
      <c r="A999" s="1" t="s">
        <v>27</v>
      </c>
      <c r="B999" s="1" t="s">
        <v>54</v>
      </c>
      <c r="C999" s="1" t="s">
        <v>29</v>
      </c>
      <c r="D999" s="1" t="s">
        <v>55</v>
      </c>
      <c r="E999" s="1" t="s">
        <v>120</v>
      </c>
      <c r="F999" s="1" t="s">
        <v>21</v>
      </c>
      <c r="G999" s="1" t="s">
        <v>128</v>
      </c>
      <c r="H999" s="1" t="s">
        <v>1162</v>
      </c>
      <c r="I999" s="1" t="s">
        <v>209</v>
      </c>
      <c r="J999" s="1" t="s">
        <v>125</v>
      </c>
      <c r="K999" s="1" t="s">
        <v>130</v>
      </c>
      <c r="L999" s="1">
        <v>2758433</v>
      </c>
      <c r="M999" s="1" t="s">
        <v>1173</v>
      </c>
      <c r="N999" s="5">
        <f>DATE(2021,3,3)</f>
        <v>44258</v>
      </c>
      <c r="O999" s="5">
        <f>DATE(2023,12,23)</f>
        <v>45283</v>
      </c>
      <c r="P999" s="5">
        <f t="shared" si="351"/>
        <v>46378</v>
      </c>
      <c r="Q999" s="1">
        <v>3672</v>
      </c>
      <c r="R999" s="1">
        <v>1200</v>
      </c>
      <c r="S999" s="1">
        <f t="shared" si="352"/>
        <v>3200</v>
      </c>
      <c r="T999" s="1">
        <v>1.5</v>
      </c>
      <c r="U999" s="1" t="str">
        <f t="shared" si="353"/>
        <v>SIM</v>
      </c>
      <c r="V999" s="1">
        <f t="shared" si="354"/>
        <v>1026</v>
      </c>
      <c r="W999" s="4">
        <f t="shared" si="355"/>
        <v>3.1189083820662766</v>
      </c>
      <c r="X999" s="4">
        <f t="shared" si="356"/>
        <v>1138.4015594541909</v>
      </c>
      <c r="Y999" s="4">
        <f t="shared" si="357"/>
        <v>1.4230019493177386</v>
      </c>
      <c r="AB999" s="5">
        <f t="shared" si="358"/>
        <v>45292</v>
      </c>
      <c r="AC999" s="5">
        <f t="shared" si="359"/>
        <v>45657</v>
      </c>
      <c r="AD999" s="1">
        <v>3</v>
      </c>
      <c r="AE999" s="1">
        <f t="shared" si="360"/>
        <v>0</v>
      </c>
      <c r="AF999" s="1">
        <f t="shared" si="361"/>
        <v>0</v>
      </c>
      <c r="AG999" s="1">
        <f t="shared" si="362"/>
        <v>0</v>
      </c>
      <c r="AH999" s="1">
        <f t="shared" si="363"/>
        <v>0</v>
      </c>
      <c r="AI999" s="1">
        <f t="shared" si="364"/>
        <v>183</v>
      </c>
      <c r="AJ999" s="3">
        <f t="shared" si="365"/>
        <v>0.5</v>
      </c>
      <c r="AK999" s="3">
        <f t="shared" si="366"/>
        <v>0.7115009746588693</v>
      </c>
      <c r="AL999" s="3">
        <f t="shared" si="367"/>
        <v>1.067251461988304</v>
      </c>
      <c r="AM999" s="3">
        <f t="shared" si="368"/>
        <v>1.6008771929824559</v>
      </c>
      <c r="AN999" s="3">
        <f t="shared" si="369"/>
        <v>0</v>
      </c>
      <c r="AO999" s="3">
        <f t="shared" si="370"/>
        <v>1.6008771929824559</v>
      </c>
      <c r="AP999" s="1" t="str">
        <f>INDEX({"EAD";"EAD";"EAD";"EAD MOOC";"EAD";"EAD";"EAD FP";"EAD";"PRESENCIAL";"PRESENCIAL";"PRESENCIAL";"PRESENCIAL"}, MATCH(CONCATENATE(E999, ".", F999),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00" spans="1:42" x14ac:dyDescent="0.25">
      <c r="A1000" s="1" t="s">
        <v>27</v>
      </c>
      <c r="B1000" s="1" t="s">
        <v>54</v>
      </c>
      <c r="C1000" s="1" t="s">
        <v>29</v>
      </c>
      <c r="D1000" s="1" t="s">
        <v>55</v>
      </c>
      <c r="E1000" s="1" t="s">
        <v>120</v>
      </c>
      <c r="F1000" s="1" t="s">
        <v>21</v>
      </c>
      <c r="G1000" s="1" t="s">
        <v>121</v>
      </c>
      <c r="H1000" s="1" t="s">
        <v>508</v>
      </c>
      <c r="I1000" s="1" t="s">
        <v>503</v>
      </c>
      <c r="J1000" s="1" t="s">
        <v>125</v>
      </c>
      <c r="K1000" s="1" t="s">
        <v>109</v>
      </c>
      <c r="L1000" s="1">
        <v>2758440</v>
      </c>
      <c r="M1000" s="1" t="s">
        <v>1174</v>
      </c>
      <c r="N1000" s="5">
        <f>DATE(2021,3,3)</f>
        <v>44258</v>
      </c>
      <c r="O1000" s="5">
        <f>DATE(2025,3,22)</f>
        <v>45738</v>
      </c>
      <c r="P1000" s="5">
        <f t="shared" si="351"/>
        <v>46833</v>
      </c>
      <c r="Q1000" s="1">
        <v>3600</v>
      </c>
      <c r="R1000" s="1">
        <v>3600</v>
      </c>
      <c r="S1000" s="1">
        <f t="shared" si="352"/>
        <v>3600</v>
      </c>
      <c r="T1000" s="1">
        <v>2.5</v>
      </c>
      <c r="U1000" s="1" t="str">
        <f t="shared" si="353"/>
        <v>SIM</v>
      </c>
      <c r="V1000" s="1">
        <f t="shared" si="354"/>
        <v>1481</v>
      </c>
      <c r="W1000" s="4">
        <f t="shared" si="355"/>
        <v>2.4307900067521944</v>
      </c>
      <c r="X1000" s="4">
        <f t="shared" si="356"/>
        <v>887.23835246455099</v>
      </c>
      <c r="Y1000" s="4">
        <f t="shared" si="357"/>
        <v>1.1090479405806888</v>
      </c>
      <c r="AB1000" s="5">
        <f t="shared" si="358"/>
        <v>45292</v>
      </c>
      <c r="AC1000" s="5">
        <f t="shared" si="359"/>
        <v>45657</v>
      </c>
      <c r="AD1000" s="1">
        <v>10</v>
      </c>
      <c r="AE1000" s="1">
        <f t="shared" si="360"/>
        <v>366</v>
      </c>
      <c r="AF1000" s="1">
        <f t="shared" si="361"/>
        <v>0</v>
      </c>
      <c r="AG1000" s="1">
        <f t="shared" si="362"/>
        <v>0</v>
      </c>
      <c r="AH1000" s="1">
        <f t="shared" si="363"/>
        <v>0</v>
      </c>
      <c r="AI1000" s="1">
        <f t="shared" si="364"/>
        <v>0</v>
      </c>
      <c r="AJ1000" s="3">
        <f t="shared" si="365"/>
        <v>1</v>
      </c>
      <c r="AK1000" s="3">
        <f t="shared" si="366"/>
        <v>1.1090479405806888</v>
      </c>
      <c r="AL1000" s="3">
        <f t="shared" si="367"/>
        <v>11.090479405806889</v>
      </c>
      <c r="AM1000" s="3">
        <f t="shared" si="368"/>
        <v>27.726198514517222</v>
      </c>
      <c r="AN1000" s="3">
        <f t="shared" si="369"/>
        <v>0</v>
      </c>
      <c r="AO1000" s="3">
        <f t="shared" si="370"/>
        <v>27.726198514517222</v>
      </c>
      <c r="AP1000" s="1" t="str">
        <f>INDEX({"EAD";"EAD";"EAD";"EAD MOOC";"EAD";"EAD";"EAD FP";"EAD";"PRESENCIAL";"PRESENCIAL";"PRESENCIAL";"PRESENCIAL"}, MATCH(CONCATENATE(E1000, ".", F1000),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01" spans="1:42" x14ac:dyDescent="0.25">
      <c r="A1001" s="1" t="s">
        <v>27</v>
      </c>
      <c r="B1001" s="1" t="s">
        <v>54</v>
      </c>
      <c r="C1001" s="1" t="s">
        <v>29</v>
      </c>
      <c r="D1001" s="1" t="s">
        <v>55</v>
      </c>
      <c r="E1001" s="1" t="s">
        <v>120</v>
      </c>
      <c r="F1001" s="1" t="s">
        <v>21</v>
      </c>
      <c r="G1001" s="1" t="s">
        <v>278</v>
      </c>
      <c r="H1001" s="1" t="s">
        <v>279</v>
      </c>
      <c r="I1001" s="1" t="s">
        <v>172</v>
      </c>
      <c r="J1001" s="1" t="s">
        <v>125</v>
      </c>
      <c r="K1001" s="1" t="s">
        <v>109</v>
      </c>
      <c r="L1001" s="1">
        <v>2758444</v>
      </c>
      <c r="M1001" s="1" t="s">
        <v>1175</v>
      </c>
      <c r="N1001" s="5">
        <f>DATE(2021,3,3)</f>
        <v>44258</v>
      </c>
      <c r="O1001" s="5">
        <f>DATE(2024,3,23)</f>
        <v>45374</v>
      </c>
      <c r="P1001" s="5">
        <f t="shared" si="351"/>
        <v>46469</v>
      </c>
      <c r="Q1001" s="1">
        <v>2800</v>
      </c>
      <c r="R1001" s="1">
        <v>3200</v>
      </c>
      <c r="S1001" s="1">
        <f t="shared" si="352"/>
        <v>3200</v>
      </c>
      <c r="T1001" s="1">
        <v>2.5</v>
      </c>
      <c r="U1001" s="1" t="str">
        <f t="shared" si="353"/>
        <v>SIM</v>
      </c>
      <c r="V1001" s="1">
        <f t="shared" si="354"/>
        <v>1117</v>
      </c>
      <c r="W1001" s="4">
        <f t="shared" si="355"/>
        <v>2.5067144136078783</v>
      </c>
      <c r="X1001" s="4">
        <f t="shared" si="356"/>
        <v>914.95076096687558</v>
      </c>
      <c r="Y1001" s="4">
        <f t="shared" si="357"/>
        <v>1.1436884512085945</v>
      </c>
      <c r="AB1001" s="5">
        <f t="shared" si="358"/>
        <v>45292</v>
      </c>
      <c r="AC1001" s="5">
        <f t="shared" si="359"/>
        <v>45657</v>
      </c>
      <c r="AD1001" s="1">
        <v>27</v>
      </c>
      <c r="AE1001" s="1">
        <f t="shared" si="360"/>
        <v>0</v>
      </c>
      <c r="AF1001" s="1">
        <f t="shared" si="361"/>
        <v>0</v>
      </c>
      <c r="AG1001" s="1">
        <f t="shared" si="362"/>
        <v>83</v>
      </c>
      <c r="AH1001" s="1">
        <f t="shared" si="363"/>
        <v>0</v>
      </c>
      <c r="AI1001" s="1">
        <f t="shared" si="364"/>
        <v>0</v>
      </c>
      <c r="AJ1001" s="3">
        <f t="shared" si="365"/>
        <v>0.22677595628415301</v>
      </c>
      <c r="AK1001" s="3">
        <f t="shared" si="366"/>
        <v>0.25936104221397088</v>
      </c>
      <c r="AL1001" s="3">
        <f t="shared" si="367"/>
        <v>7.0027481397772142</v>
      </c>
      <c r="AM1001" s="3">
        <f t="shared" si="368"/>
        <v>17.506870349443034</v>
      </c>
      <c r="AN1001" s="3">
        <f t="shared" si="369"/>
        <v>0</v>
      </c>
      <c r="AO1001" s="3">
        <f t="shared" si="370"/>
        <v>17.506870349443034</v>
      </c>
      <c r="AP1001" s="1" t="str">
        <f>INDEX({"EAD";"EAD";"EAD";"EAD MOOC";"EAD";"EAD";"EAD FP";"EAD";"PRESENCIAL";"PRESENCIAL";"PRESENCIAL";"PRESENCIAL"}, MATCH(CONCATENATE(E1001, ".", F1001),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02" spans="1:42" x14ac:dyDescent="0.25">
      <c r="A1002" s="1" t="s">
        <v>27</v>
      </c>
      <c r="B1002" s="1" t="s">
        <v>54</v>
      </c>
      <c r="C1002" s="1" t="s">
        <v>29</v>
      </c>
      <c r="D1002" s="1" t="s">
        <v>55</v>
      </c>
      <c r="E1002" s="1" t="s">
        <v>120</v>
      </c>
      <c r="F1002" s="1" t="s">
        <v>21</v>
      </c>
      <c r="G1002" s="1" t="s">
        <v>140</v>
      </c>
      <c r="H1002" s="1" t="s">
        <v>1146</v>
      </c>
      <c r="I1002" s="1" t="s">
        <v>209</v>
      </c>
      <c r="J1002" s="1" t="s">
        <v>125</v>
      </c>
      <c r="K1002" s="1" t="s">
        <v>109</v>
      </c>
      <c r="L1002" s="1">
        <v>2758981</v>
      </c>
      <c r="M1002" s="1" t="s">
        <v>1176</v>
      </c>
      <c r="N1002" s="5">
        <f>DATE(2021,3,3)</f>
        <v>44258</v>
      </c>
      <c r="O1002" s="5">
        <f>DATE(2023,3,25)</f>
        <v>45010</v>
      </c>
      <c r="P1002" s="5">
        <f t="shared" si="351"/>
        <v>46105</v>
      </c>
      <c r="Q1002" s="1">
        <v>2000</v>
      </c>
      <c r="R1002" s="1">
        <v>2000</v>
      </c>
      <c r="S1002" s="1">
        <f t="shared" si="352"/>
        <v>2000</v>
      </c>
      <c r="T1002" s="1">
        <v>1.5</v>
      </c>
      <c r="U1002" s="1" t="str">
        <f t="shared" si="353"/>
        <v>SIM</v>
      </c>
      <c r="V1002" s="1">
        <f t="shared" si="354"/>
        <v>753</v>
      </c>
      <c r="W1002" s="4">
        <f t="shared" si="355"/>
        <v>2.6560424966799467</v>
      </c>
      <c r="X1002" s="4">
        <f t="shared" si="356"/>
        <v>969.45551128818056</v>
      </c>
      <c r="Y1002" s="4">
        <f t="shared" si="357"/>
        <v>1.2118193891102258</v>
      </c>
      <c r="AB1002" s="5">
        <f t="shared" si="358"/>
        <v>45292</v>
      </c>
      <c r="AC1002" s="5">
        <f t="shared" si="359"/>
        <v>45657</v>
      </c>
      <c r="AD1002" s="1">
        <v>34</v>
      </c>
      <c r="AE1002" s="1">
        <f t="shared" si="360"/>
        <v>0</v>
      </c>
      <c r="AF1002" s="1">
        <f t="shared" si="361"/>
        <v>0</v>
      </c>
      <c r="AG1002" s="1">
        <f t="shared" si="362"/>
        <v>0</v>
      </c>
      <c r="AH1002" s="1">
        <f t="shared" si="363"/>
        <v>0</v>
      </c>
      <c r="AI1002" s="1">
        <f t="shared" si="364"/>
        <v>183</v>
      </c>
      <c r="AJ1002" s="3">
        <f t="shared" si="365"/>
        <v>0.5</v>
      </c>
      <c r="AK1002" s="3">
        <f t="shared" si="366"/>
        <v>0.6059096945551129</v>
      </c>
      <c r="AL1002" s="3">
        <f t="shared" si="367"/>
        <v>10.300464807436919</v>
      </c>
      <c r="AM1002" s="3">
        <f t="shared" si="368"/>
        <v>15.450697211155379</v>
      </c>
      <c r="AN1002" s="3">
        <f t="shared" si="369"/>
        <v>0</v>
      </c>
      <c r="AO1002" s="3">
        <f t="shared" si="370"/>
        <v>15.450697211155379</v>
      </c>
      <c r="AP1002" s="1" t="str">
        <f>INDEX({"EAD";"EAD";"EAD";"EAD MOOC";"EAD";"EAD";"EAD FP";"EAD";"PRESENCIAL";"PRESENCIAL";"PRESENCIAL";"PRESENCIAL"}, MATCH(CONCATENATE(E1002, ".", F1002),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03" spans="1:42" x14ac:dyDescent="0.25">
      <c r="A1003" s="1" t="s">
        <v>27</v>
      </c>
      <c r="B1003" s="1" t="s">
        <v>54</v>
      </c>
      <c r="C1003" s="1" t="s">
        <v>29</v>
      </c>
      <c r="D1003" s="1" t="s">
        <v>55</v>
      </c>
      <c r="E1003" s="1" t="s">
        <v>120</v>
      </c>
      <c r="F1003" s="1" t="s">
        <v>21</v>
      </c>
      <c r="G1003" s="1" t="s">
        <v>128</v>
      </c>
      <c r="H1003" s="1" t="s">
        <v>1162</v>
      </c>
      <c r="I1003" s="1" t="s">
        <v>209</v>
      </c>
      <c r="J1003" s="1" t="s">
        <v>125</v>
      </c>
      <c r="K1003" s="1" t="s">
        <v>130</v>
      </c>
      <c r="L1003" s="1">
        <v>2854365</v>
      </c>
      <c r="M1003" s="1" t="s">
        <v>1177</v>
      </c>
      <c r="N1003" s="5">
        <f t="shared" ref="N1003:N1011" si="372">DATE(2022,2,1)</f>
        <v>44593</v>
      </c>
      <c r="O1003" s="5">
        <f>DATE(2024,12,23)</f>
        <v>45649</v>
      </c>
      <c r="P1003" s="5">
        <f t="shared" si="351"/>
        <v>46744</v>
      </c>
      <c r="Q1003" s="1">
        <v>3672</v>
      </c>
      <c r="R1003" s="1">
        <v>1200</v>
      </c>
      <c r="S1003" s="1">
        <f t="shared" si="352"/>
        <v>3200</v>
      </c>
      <c r="T1003" s="1">
        <v>1.5</v>
      </c>
      <c r="U1003" s="1" t="str">
        <f t="shared" si="353"/>
        <v>SIM</v>
      </c>
      <c r="V1003" s="1">
        <f t="shared" si="354"/>
        <v>1057</v>
      </c>
      <c r="W1003" s="4">
        <f t="shared" si="355"/>
        <v>3.0274361400189216</v>
      </c>
      <c r="X1003" s="4">
        <f t="shared" si="356"/>
        <v>1105.0141911069063</v>
      </c>
      <c r="Y1003" s="4">
        <f t="shared" si="357"/>
        <v>1.381267738883633</v>
      </c>
      <c r="AB1003" s="5">
        <f t="shared" si="358"/>
        <v>45292</v>
      </c>
      <c r="AC1003" s="5">
        <f t="shared" si="359"/>
        <v>45657</v>
      </c>
      <c r="AD1003" s="1">
        <v>30</v>
      </c>
      <c r="AE1003" s="1">
        <f t="shared" si="360"/>
        <v>0</v>
      </c>
      <c r="AF1003" s="1">
        <f t="shared" si="361"/>
        <v>0</v>
      </c>
      <c r="AG1003" s="1">
        <f t="shared" si="362"/>
        <v>358</v>
      </c>
      <c r="AH1003" s="1">
        <f t="shared" si="363"/>
        <v>0</v>
      </c>
      <c r="AI1003" s="1">
        <f t="shared" si="364"/>
        <v>0</v>
      </c>
      <c r="AJ1003" s="3">
        <f t="shared" si="365"/>
        <v>0.97814207650273222</v>
      </c>
      <c r="AK1003" s="3">
        <f t="shared" si="366"/>
        <v>1.3510760943178706</v>
      </c>
      <c r="AL1003" s="3">
        <f t="shared" si="367"/>
        <v>40.532282829536115</v>
      </c>
      <c r="AM1003" s="3">
        <f t="shared" si="368"/>
        <v>60.798424244304172</v>
      </c>
      <c r="AN1003" s="3">
        <f t="shared" si="369"/>
        <v>0</v>
      </c>
      <c r="AO1003" s="3">
        <f t="shared" si="370"/>
        <v>60.798424244304172</v>
      </c>
      <c r="AP1003" s="1" t="str">
        <f>INDEX({"EAD";"EAD";"EAD";"EAD MOOC";"EAD";"EAD";"EAD FP";"EAD";"PRESENCIAL";"PRESENCIAL";"PRESENCIAL";"PRESENCIAL"}, MATCH(CONCATENATE(E1003, ".", F1003),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04" spans="1:42" x14ac:dyDescent="0.25">
      <c r="A1004" s="1" t="s">
        <v>27</v>
      </c>
      <c r="B1004" s="1" t="s">
        <v>54</v>
      </c>
      <c r="C1004" s="1" t="s">
        <v>29</v>
      </c>
      <c r="D1004" s="1" t="s">
        <v>55</v>
      </c>
      <c r="E1004" s="1" t="s">
        <v>120</v>
      </c>
      <c r="F1004" s="1" t="s">
        <v>21</v>
      </c>
      <c r="G1004" s="1" t="s">
        <v>128</v>
      </c>
      <c r="H1004" s="1" t="s">
        <v>526</v>
      </c>
      <c r="I1004" s="1" t="s">
        <v>503</v>
      </c>
      <c r="J1004" s="1" t="s">
        <v>125</v>
      </c>
      <c r="K1004" s="1" t="s">
        <v>130</v>
      </c>
      <c r="L1004" s="1">
        <v>2855413</v>
      </c>
      <c r="M1004" s="1" t="s">
        <v>1178</v>
      </c>
      <c r="N1004" s="5">
        <f t="shared" si="372"/>
        <v>44593</v>
      </c>
      <c r="O1004" s="5">
        <f>DATE(2024,12,23)</f>
        <v>45649</v>
      </c>
      <c r="P1004" s="5">
        <f t="shared" si="351"/>
        <v>46744</v>
      </c>
      <c r="Q1004" s="1">
        <v>3672</v>
      </c>
      <c r="R1004" s="1">
        <v>1200</v>
      </c>
      <c r="S1004" s="1">
        <f t="shared" si="352"/>
        <v>3200</v>
      </c>
      <c r="T1004" s="1">
        <v>2.5</v>
      </c>
      <c r="U1004" s="1" t="str">
        <f t="shared" si="353"/>
        <v>SIM</v>
      </c>
      <c r="V1004" s="1">
        <f t="shared" si="354"/>
        <v>1057</v>
      </c>
      <c r="W1004" s="4">
        <f t="shared" si="355"/>
        <v>3.0274361400189216</v>
      </c>
      <c r="X1004" s="4">
        <f t="shared" si="356"/>
        <v>1105.0141911069063</v>
      </c>
      <c r="Y1004" s="4">
        <f t="shared" si="357"/>
        <v>1.381267738883633</v>
      </c>
      <c r="AB1004" s="5">
        <f t="shared" si="358"/>
        <v>45292</v>
      </c>
      <c r="AC1004" s="5">
        <f t="shared" si="359"/>
        <v>45657</v>
      </c>
      <c r="AD1004" s="1">
        <v>55</v>
      </c>
      <c r="AE1004" s="1">
        <f t="shared" si="360"/>
        <v>0</v>
      </c>
      <c r="AF1004" s="1">
        <f t="shared" si="361"/>
        <v>0</v>
      </c>
      <c r="AG1004" s="1">
        <f t="shared" si="362"/>
        <v>358</v>
      </c>
      <c r="AH1004" s="1">
        <f t="shared" si="363"/>
        <v>0</v>
      </c>
      <c r="AI1004" s="1">
        <f t="shared" si="364"/>
        <v>0</v>
      </c>
      <c r="AJ1004" s="3">
        <f t="shared" si="365"/>
        <v>0.97814207650273222</v>
      </c>
      <c r="AK1004" s="3">
        <f t="shared" si="366"/>
        <v>1.3510760943178706</v>
      </c>
      <c r="AL1004" s="3">
        <f t="shared" si="367"/>
        <v>74.309185187482882</v>
      </c>
      <c r="AM1004" s="3">
        <f t="shared" si="368"/>
        <v>185.77296296870719</v>
      </c>
      <c r="AN1004" s="3">
        <f t="shared" si="369"/>
        <v>0</v>
      </c>
      <c r="AO1004" s="3">
        <f t="shared" si="370"/>
        <v>185.77296296870719</v>
      </c>
      <c r="AP1004" s="1" t="str">
        <f>INDEX({"EAD";"EAD";"EAD";"EAD MOOC";"EAD";"EAD";"EAD FP";"EAD";"PRESENCIAL";"PRESENCIAL";"PRESENCIAL";"PRESENCIAL"}, MATCH(CONCATENATE(E1004, ".", F1004),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05" spans="1:42" x14ac:dyDescent="0.25">
      <c r="A1005" s="1" t="s">
        <v>27</v>
      </c>
      <c r="B1005" s="1" t="s">
        <v>54</v>
      </c>
      <c r="C1005" s="1" t="s">
        <v>29</v>
      </c>
      <c r="D1005" s="1" t="s">
        <v>55</v>
      </c>
      <c r="E1005" s="1" t="s">
        <v>120</v>
      </c>
      <c r="F1005" s="1" t="s">
        <v>21</v>
      </c>
      <c r="G1005" s="1" t="s">
        <v>128</v>
      </c>
      <c r="H1005" s="1" t="s">
        <v>1166</v>
      </c>
      <c r="I1005" s="1" t="s">
        <v>503</v>
      </c>
      <c r="J1005" s="1" t="s">
        <v>125</v>
      </c>
      <c r="K1005" s="1" t="s">
        <v>130</v>
      </c>
      <c r="L1005" s="1">
        <v>2855429</v>
      </c>
      <c r="M1005" s="1" t="s">
        <v>1179</v>
      </c>
      <c r="N1005" s="5">
        <f t="shared" si="372"/>
        <v>44593</v>
      </c>
      <c r="O1005" s="5">
        <f>DATE(2024,12,23)</f>
        <v>45649</v>
      </c>
      <c r="P1005" s="5">
        <f t="shared" si="351"/>
        <v>46744</v>
      </c>
      <c r="Q1005" s="1">
        <v>3706</v>
      </c>
      <c r="R1005" s="1">
        <v>1200</v>
      </c>
      <c r="S1005" s="1">
        <f t="shared" si="352"/>
        <v>3200</v>
      </c>
      <c r="T1005" s="1">
        <v>2.5</v>
      </c>
      <c r="U1005" s="1" t="str">
        <f t="shared" si="353"/>
        <v>SIM</v>
      </c>
      <c r="V1005" s="1">
        <f t="shared" si="354"/>
        <v>1057</v>
      </c>
      <c r="W1005" s="4">
        <f t="shared" si="355"/>
        <v>3.0274361400189216</v>
      </c>
      <c r="X1005" s="4">
        <f t="shared" si="356"/>
        <v>1105.0141911069063</v>
      </c>
      <c r="Y1005" s="4">
        <f t="shared" si="357"/>
        <v>1.381267738883633</v>
      </c>
      <c r="AB1005" s="5">
        <f t="shared" si="358"/>
        <v>45292</v>
      </c>
      <c r="AC1005" s="5">
        <f t="shared" si="359"/>
        <v>45657</v>
      </c>
      <c r="AD1005" s="1">
        <v>51</v>
      </c>
      <c r="AE1005" s="1">
        <f t="shared" si="360"/>
        <v>0</v>
      </c>
      <c r="AF1005" s="1">
        <f t="shared" si="361"/>
        <v>0</v>
      </c>
      <c r="AG1005" s="1">
        <f t="shared" si="362"/>
        <v>358</v>
      </c>
      <c r="AH1005" s="1">
        <f t="shared" si="363"/>
        <v>0</v>
      </c>
      <c r="AI1005" s="1">
        <f t="shared" si="364"/>
        <v>0</v>
      </c>
      <c r="AJ1005" s="3">
        <f t="shared" si="365"/>
        <v>0.97814207650273222</v>
      </c>
      <c r="AK1005" s="3">
        <f t="shared" si="366"/>
        <v>1.3510760943178706</v>
      </c>
      <c r="AL1005" s="3">
        <f t="shared" si="367"/>
        <v>68.904880810211395</v>
      </c>
      <c r="AM1005" s="3">
        <f t="shared" si="368"/>
        <v>172.2622020255285</v>
      </c>
      <c r="AN1005" s="3">
        <f t="shared" si="369"/>
        <v>0</v>
      </c>
      <c r="AO1005" s="3">
        <f t="shared" si="370"/>
        <v>172.2622020255285</v>
      </c>
      <c r="AP1005" s="1" t="str">
        <f>INDEX({"EAD";"EAD";"EAD";"EAD MOOC";"EAD";"EAD";"EAD FP";"EAD";"PRESENCIAL";"PRESENCIAL";"PRESENCIAL";"PRESENCIAL"}, MATCH(CONCATENATE(E1005, ".", F1005),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06" spans="1:42" x14ac:dyDescent="0.25">
      <c r="A1006" s="1" t="s">
        <v>27</v>
      </c>
      <c r="B1006" s="1" t="s">
        <v>54</v>
      </c>
      <c r="C1006" s="1" t="s">
        <v>29</v>
      </c>
      <c r="D1006" s="1" t="s">
        <v>55</v>
      </c>
      <c r="E1006" s="1" t="s">
        <v>120</v>
      </c>
      <c r="F1006" s="1" t="s">
        <v>21</v>
      </c>
      <c r="G1006" s="1" t="s">
        <v>128</v>
      </c>
      <c r="H1006" s="1" t="s">
        <v>1169</v>
      </c>
      <c r="I1006" s="1" t="s">
        <v>124</v>
      </c>
      <c r="J1006" s="1" t="s">
        <v>125</v>
      </c>
      <c r="K1006" s="1" t="s">
        <v>130</v>
      </c>
      <c r="L1006" s="1">
        <v>2855450</v>
      </c>
      <c r="M1006" s="1" t="s">
        <v>1180</v>
      </c>
      <c r="N1006" s="5">
        <f t="shared" si="372"/>
        <v>44593</v>
      </c>
      <c r="O1006" s="5">
        <f>DATE(2024,12,23)</f>
        <v>45649</v>
      </c>
      <c r="P1006" s="5">
        <f t="shared" si="351"/>
        <v>46744</v>
      </c>
      <c r="Q1006" s="1">
        <v>3504</v>
      </c>
      <c r="R1006" s="1">
        <v>800</v>
      </c>
      <c r="S1006" s="1">
        <f t="shared" si="352"/>
        <v>3000</v>
      </c>
      <c r="T1006" s="1">
        <v>1.5</v>
      </c>
      <c r="U1006" s="1" t="str">
        <f t="shared" si="353"/>
        <v>SIM</v>
      </c>
      <c r="V1006" s="1">
        <f t="shared" si="354"/>
        <v>1057</v>
      </c>
      <c r="W1006" s="4">
        <f t="shared" si="355"/>
        <v>2.838221381267739</v>
      </c>
      <c r="X1006" s="4">
        <f t="shared" si="356"/>
        <v>1035.9508041627248</v>
      </c>
      <c r="Y1006" s="4">
        <f t="shared" si="357"/>
        <v>1.2949385052034059</v>
      </c>
      <c r="AB1006" s="5">
        <f t="shared" si="358"/>
        <v>45292</v>
      </c>
      <c r="AC1006" s="5">
        <f t="shared" si="359"/>
        <v>45657</v>
      </c>
      <c r="AD1006" s="1">
        <v>60</v>
      </c>
      <c r="AE1006" s="1">
        <f t="shared" si="360"/>
        <v>0</v>
      </c>
      <c r="AF1006" s="1">
        <f t="shared" si="361"/>
        <v>0</v>
      </c>
      <c r="AG1006" s="1">
        <f t="shared" si="362"/>
        <v>358</v>
      </c>
      <c r="AH1006" s="1">
        <f t="shared" si="363"/>
        <v>0</v>
      </c>
      <c r="AI1006" s="1">
        <f t="shared" si="364"/>
        <v>0</v>
      </c>
      <c r="AJ1006" s="3">
        <f t="shared" si="365"/>
        <v>0.97814207650273222</v>
      </c>
      <c r="AK1006" s="3">
        <f t="shared" si="366"/>
        <v>1.2666338384230036</v>
      </c>
      <c r="AL1006" s="3">
        <f t="shared" si="367"/>
        <v>75.998030305380212</v>
      </c>
      <c r="AM1006" s="3">
        <f t="shared" si="368"/>
        <v>113.99704545807032</v>
      </c>
      <c r="AN1006" s="3">
        <f t="shared" si="369"/>
        <v>0</v>
      </c>
      <c r="AO1006" s="3">
        <f t="shared" si="370"/>
        <v>113.99704545807032</v>
      </c>
      <c r="AP1006" s="1" t="str">
        <f>INDEX({"EAD";"EAD";"EAD";"EAD MOOC";"EAD";"EAD";"EAD FP";"EAD";"PRESENCIAL";"PRESENCIAL";"PRESENCIAL";"PRESENCIAL"}, MATCH(CONCATENATE(E1006, ".", F1006),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07" spans="1:42" x14ac:dyDescent="0.25">
      <c r="A1007" s="1" t="s">
        <v>27</v>
      </c>
      <c r="B1007" s="1" t="s">
        <v>54</v>
      </c>
      <c r="C1007" s="1" t="s">
        <v>29</v>
      </c>
      <c r="D1007" s="1" t="s">
        <v>55</v>
      </c>
      <c r="E1007" s="1" t="s">
        <v>120</v>
      </c>
      <c r="F1007" s="1" t="s">
        <v>21</v>
      </c>
      <c r="G1007" s="1" t="s">
        <v>128</v>
      </c>
      <c r="H1007" s="1" t="s">
        <v>1171</v>
      </c>
      <c r="I1007" s="1" t="s">
        <v>503</v>
      </c>
      <c r="J1007" s="1" t="s">
        <v>125</v>
      </c>
      <c r="K1007" s="1" t="s">
        <v>163</v>
      </c>
      <c r="L1007" s="1">
        <v>2855458</v>
      </c>
      <c r="M1007" s="1" t="s">
        <v>1181</v>
      </c>
      <c r="N1007" s="5">
        <f t="shared" si="372"/>
        <v>44593</v>
      </c>
      <c r="O1007" s="5">
        <f>DATE(2023,12,23)</f>
        <v>45283</v>
      </c>
      <c r="P1007" s="5">
        <f t="shared" si="351"/>
        <v>46378</v>
      </c>
      <c r="Q1007" s="1">
        <v>1200</v>
      </c>
      <c r="R1007" s="1">
        <v>1200</v>
      </c>
      <c r="S1007" s="1">
        <f t="shared" si="352"/>
        <v>1200</v>
      </c>
      <c r="T1007" s="1">
        <v>2.5</v>
      </c>
      <c r="U1007" s="1" t="str">
        <f t="shared" si="353"/>
        <v>SIM</v>
      </c>
      <c r="V1007" s="1">
        <f t="shared" si="354"/>
        <v>691</v>
      </c>
      <c r="W1007" s="4">
        <f t="shared" si="355"/>
        <v>1.7366136034732271</v>
      </c>
      <c r="X1007" s="4">
        <f t="shared" si="356"/>
        <v>633.86396526772785</v>
      </c>
      <c r="Y1007" s="4">
        <f t="shared" si="357"/>
        <v>0.79232995658465977</v>
      </c>
      <c r="AB1007" s="5">
        <f t="shared" si="358"/>
        <v>45292</v>
      </c>
      <c r="AC1007" s="5">
        <f t="shared" si="359"/>
        <v>45657</v>
      </c>
      <c r="AD1007" s="1">
        <v>35</v>
      </c>
      <c r="AE1007" s="1">
        <f t="shared" si="360"/>
        <v>0</v>
      </c>
      <c r="AF1007" s="1">
        <f t="shared" si="361"/>
        <v>0</v>
      </c>
      <c r="AG1007" s="1">
        <f t="shared" si="362"/>
        <v>0</v>
      </c>
      <c r="AH1007" s="1">
        <f t="shared" si="363"/>
        <v>0</v>
      </c>
      <c r="AI1007" s="1">
        <f t="shared" si="364"/>
        <v>183</v>
      </c>
      <c r="AJ1007" s="3">
        <f t="shared" si="365"/>
        <v>0.5</v>
      </c>
      <c r="AK1007" s="3">
        <f t="shared" si="366"/>
        <v>0.39616497829232988</v>
      </c>
      <c r="AL1007" s="3">
        <f t="shared" si="367"/>
        <v>6.9328871201157733</v>
      </c>
      <c r="AM1007" s="3">
        <f t="shared" si="368"/>
        <v>17.332217800289435</v>
      </c>
      <c r="AN1007" s="3">
        <f t="shared" si="369"/>
        <v>0</v>
      </c>
      <c r="AO1007" s="3">
        <f t="shared" si="370"/>
        <v>17.332217800289435</v>
      </c>
      <c r="AP1007" s="1" t="str">
        <f>INDEX({"EAD";"EAD";"EAD";"EAD MOOC";"EAD";"EAD";"EAD FP";"EAD";"PRESENCIAL";"PRESENCIAL";"PRESENCIAL";"PRESENCIAL"}, MATCH(CONCATENATE(E1007, ".", F1007),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08" spans="1:42" x14ac:dyDescent="0.25">
      <c r="A1008" s="1" t="s">
        <v>27</v>
      </c>
      <c r="B1008" s="1" t="s">
        <v>54</v>
      </c>
      <c r="C1008" s="1" t="s">
        <v>29</v>
      </c>
      <c r="D1008" s="1" t="s">
        <v>55</v>
      </c>
      <c r="E1008" s="1" t="s">
        <v>120</v>
      </c>
      <c r="F1008" s="1" t="s">
        <v>21</v>
      </c>
      <c r="G1008" s="1" t="s">
        <v>278</v>
      </c>
      <c r="H1008" s="1" t="s">
        <v>279</v>
      </c>
      <c r="I1008" s="1" t="s">
        <v>172</v>
      </c>
      <c r="J1008" s="1" t="s">
        <v>125</v>
      </c>
      <c r="K1008" s="1" t="s">
        <v>109</v>
      </c>
      <c r="L1008" s="1">
        <v>2855503</v>
      </c>
      <c r="M1008" s="1" t="s">
        <v>1182</v>
      </c>
      <c r="N1008" s="5">
        <f t="shared" si="372"/>
        <v>44593</v>
      </c>
      <c r="O1008" s="5">
        <f>DATE(2025,12,23)</f>
        <v>46014</v>
      </c>
      <c r="P1008" s="5">
        <f t="shared" si="351"/>
        <v>47109</v>
      </c>
      <c r="Q1008" s="1">
        <v>3260</v>
      </c>
      <c r="R1008" s="1">
        <v>3200</v>
      </c>
      <c r="S1008" s="1">
        <f t="shared" si="352"/>
        <v>3200</v>
      </c>
      <c r="T1008" s="1">
        <v>2.5</v>
      </c>
      <c r="U1008" s="1" t="str">
        <f t="shared" si="353"/>
        <v>SIM</v>
      </c>
      <c r="V1008" s="1">
        <f t="shared" si="354"/>
        <v>1422</v>
      </c>
      <c r="W1008" s="4">
        <f t="shared" si="355"/>
        <v>2.2503516174402249</v>
      </c>
      <c r="X1008" s="4">
        <f t="shared" si="356"/>
        <v>821.37834036568211</v>
      </c>
      <c r="Y1008" s="4">
        <f t="shared" si="357"/>
        <v>1.0267229254571026</v>
      </c>
      <c r="AB1008" s="5">
        <f t="shared" si="358"/>
        <v>45292</v>
      </c>
      <c r="AC1008" s="5">
        <f t="shared" si="359"/>
        <v>45657</v>
      </c>
      <c r="AD1008" s="1">
        <v>17</v>
      </c>
      <c r="AE1008" s="1">
        <f t="shared" si="360"/>
        <v>366</v>
      </c>
      <c r="AF1008" s="1">
        <f t="shared" si="361"/>
        <v>0</v>
      </c>
      <c r="AG1008" s="1">
        <f t="shared" si="362"/>
        <v>0</v>
      </c>
      <c r="AH1008" s="1">
        <f t="shared" si="363"/>
        <v>0</v>
      </c>
      <c r="AI1008" s="1">
        <f t="shared" si="364"/>
        <v>0</v>
      </c>
      <c r="AJ1008" s="3">
        <f t="shared" si="365"/>
        <v>1</v>
      </c>
      <c r="AK1008" s="3">
        <f t="shared" si="366"/>
        <v>1.0267229254571026</v>
      </c>
      <c r="AL1008" s="3">
        <f t="shared" si="367"/>
        <v>17.454289732770746</v>
      </c>
      <c r="AM1008" s="3">
        <f t="shared" si="368"/>
        <v>43.635724331926866</v>
      </c>
      <c r="AN1008" s="3">
        <f t="shared" si="369"/>
        <v>0</v>
      </c>
      <c r="AO1008" s="3">
        <f t="shared" si="370"/>
        <v>43.635724331926866</v>
      </c>
      <c r="AP1008" s="1" t="str">
        <f>INDEX({"EAD";"EAD";"EAD";"EAD MOOC";"EAD";"EAD";"EAD FP";"EAD";"PRESENCIAL";"PRESENCIAL";"PRESENCIAL";"PRESENCIAL"}, MATCH(CONCATENATE(E1008, ".", F1008),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09" spans="1:42" x14ac:dyDescent="0.25">
      <c r="A1009" s="1" t="s">
        <v>27</v>
      </c>
      <c r="B1009" s="1" t="s">
        <v>54</v>
      </c>
      <c r="C1009" s="1" t="s">
        <v>29</v>
      </c>
      <c r="D1009" s="1" t="s">
        <v>55</v>
      </c>
      <c r="E1009" s="1" t="s">
        <v>120</v>
      </c>
      <c r="F1009" s="1" t="s">
        <v>21</v>
      </c>
      <c r="G1009" s="1" t="s">
        <v>140</v>
      </c>
      <c r="H1009" s="1" t="s">
        <v>1146</v>
      </c>
      <c r="I1009" s="1" t="s">
        <v>209</v>
      </c>
      <c r="J1009" s="1" t="s">
        <v>125</v>
      </c>
      <c r="K1009" s="1" t="s">
        <v>109</v>
      </c>
      <c r="L1009" s="1">
        <v>2855509</v>
      </c>
      <c r="M1009" s="1" t="s">
        <v>1183</v>
      </c>
      <c r="N1009" s="5">
        <f t="shared" si="372"/>
        <v>44593</v>
      </c>
      <c r="O1009" s="5">
        <f>DATE(2024,12,23)</f>
        <v>45649</v>
      </c>
      <c r="P1009" s="5">
        <f t="shared" si="351"/>
        <v>46744</v>
      </c>
      <c r="Q1009" s="1">
        <v>2194</v>
      </c>
      <c r="R1009" s="1">
        <v>2000</v>
      </c>
      <c r="S1009" s="1">
        <f t="shared" si="352"/>
        <v>2000</v>
      </c>
      <c r="T1009" s="1">
        <v>1.5</v>
      </c>
      <c r="U1009" s="1" t="str">
        <f t="shared" si="353"/>
        <v>SIM</v>
      </c>
      <c r="V1009" s="1">
        <f t="shared" si="354"/>
        <v>1057</v>
      </c>
      <c r="W1009" s="4">
        <f t="shared" si="355"/>
        <v>1.8921475875118259</v>
      </c>
      <c r="X1009" s="4">
        <f t="shared" si="356"/>
        <v>690.6338694418165</v>
      </c>
      <c r="Y1009" s="4">
        <f t="shared" si="357"/>
        <v>0.86329233680227058</v>
      </c>
      <c r="AB1009" s="5">
        <f t="shared" si="358"/>
        <v>45292</v>
      </c>
      <c r="AC1009" s="5">
        <f t="shared" si="359"/>
        <v>45657</v>
      </c>
      <c r="AD1009" s="1">
        <v>40</v>
      </c>
      <c r="AE1009" s="1">
        <f t="shared" si="360"/>
        <v>0</v>
      </c>
      <c r="AF1009" s="1">
        <f t="shared" si="361"/>
        <v>0</v>
      </c>
      <c r="AG1009" s="1">
        <f t="shared" si="362"/>
        <v>358</v>
      </c>
      <c r="AH1009" s="1">
        <f t="shared" si="363"/>
        <v>0</v>
      </c>
      <c r="AI1009" s="1">
        <f t="shared" si="364"/>
        <v>0</v>
      </c>
      <c r="AJ1009" s="3">
        <f t="shared" si="365"/>
        <v>0.97814207650273222</v>
      </c>
      <c r="AK1009" s="3">
        <f t="shared" si="366"/>
        <v>0.84442255894866902</v>
      </c>
      <c r="AL1009" s="3">
        <f t="shared" si="367"/>
        <v>33.77690235794676</v>
      </c>
      <c r="AM1009" s="3">
        <f t="shared" si="368"/>
        <v>50.665353536920136</v>
      </c>
      <c r="AN1009" s="3">
        <f t="shared" si="369"/>
        <v>0</v>
      </c>
      <c r="AO1009" s="3">
        <f t="shared" si="370"/>
        <v>50.665353536920136</v>
      </c>
      <c r="AP1009" s="1" t="str">
        <f>INDEX({"EAD";"EAD";"EAD";"EAD MOOC";"EAD";"EAD";"EAD FP";"EAD";"PRESENCIAL";"PRESENCIAL";"PRESENCIAL";"PRESENCIAL"}, MATCH(CONCATENATE(E1009, ".", F1009),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10" spans="1:42" x14ac:dyDescent="0.25">
      <c r="A1010" s="1" t="s">
        <v>27</v>
      </c>
      <c r="B1010" s="1" t="s">
        <v>54</v>
      </c>
      <c r="C1010" s="1" t="s">
        <v>29</v>
      </c>
      <c r="D1010" s="1" t="s">
        <v>55</v>
      </c>
      <c r="E1010" s="1" t="s">
        <v>120</v>
      </c>
      <c r="F1010" s="1" t="s">
        <v>21</v>
      </c>
      <c r="G1010" s="1" t="s">
        <v>121</v>
      </c>
      <c r="H1010" s="1" t="s">
        <v>508</v>
      </c>
      <c r="I1010" s="1" t="s">
        <v>503</v>
      </c>
      <c r="J1010" s="1" t="s">
        <v>125</v>
      </c>
      <c r="K1010" s="1" t="s">
        <v>109</v>
      </c>
      <c r="L1010" s="1">
        <v>2855518</v>
      </c>
      <c r="M1010" s="1" t="s">
        <v>1184</v>
      </c>
      <c r="N1010" s="5">
        <f t="shared" si="372"/>
        <v>44593</v>
      </c>
      <c r="O1010" s="5">
        <f>DATE(2026,12,23)</f>
        <v>46379</v>
      </c>
      <c r="P1010" s="5">
        <f t="shared" si="351"/>
        <v>47474</v>
      </c>
      <c r="Q1010" s="1">
        <v>4960</v>
      </c>
      <c r="R1010" s="1">
        <v>3600</v>
      </c>
      <c r="S1010" s="1">
        <f t="shared" si="352"/>
        <v>3600</v>
      </c>
      <c r="T1010" s="1">
        <v>2.5</v>
      </c>
      <c r="U1010" s="1" t="str">
        <f t="shared" si="353"/>
        <v>SIM</v>
      </c>
      <c r="V1010" s="1">
        <f t="shared" si="354"/>
        <v>1787</v>
      </c>
      <c r="W1010" s="4">
        <f t="shared" si="355"/>
        <v>2.0145495243424736</v>
      </c>
      <c r="X1010" s="4">
        <f t="shared" si="356"/>
        <v>735.31057638500283</v>
      </c>
      <c r="Y1010" s="4">
        <f t="shared" si="357"/>
        <v>0.91913822048125349</v>
      </c>
      <c r="AB1010" s="5">
        <f t="shared" si="358"/>
        <v>45292</v>
      </c>
      <c r="AC1010" s="5">
        <f t="shared" si="359"/>
        <v>45657</v>
      </c>
      <c r="AD1010" s="1">
        <v>17</v>
      </c>
      <c r="AE1010" s="1">
        <f t="shared" si="360"/>
        <v>366</v>
      </c>
      <c r="AF1010" s="1">
        <f t="shared" si="361"/>
        <v>0</v>
      </c>
      <c r="AG1010" s="1">
        <f t="shared" si="362"/>
        <v>0</v>
      </c>
      <c r="AH1010" s="1">
        <f t="shared" si="363"/>
        <v>0</v>
      </c>
      <c r="AI1010" s="1">
        <f t="shared" si="364"/>
        <v>0</v>
      </c>
      <c r="AJ1010" s="3">
        <f t="shared" si="365"/>
        <v>1</v>
      </c>
      <c r="AK1010" s="3">
        <f t="shared" si="366"/>
        <v>0.91913822048125349</v>
      </c>
      <c r="AL1010" s="3">
        <f t="shared" si="367"/>
        <v>15.625349748181309</v>
      </c>
      <c r="AM1010" s="3">
        <f t="shared" si="368"/>
        <v>39.063374370453275</v>
      </c>
      <c r="AN1010" s="3">
        <f t="shared" si="369"/>
        <v>0</v>
      </c>
      <c r="AO1010" s="3">
        <f t="shared" si="370"/>
        <v>39.063374370453275</v>
      </c>
      <c r="AP1010" s="1" t="str">
        <f>INDEX({"EAD";"EAD";"EAD";"EAD MOOC";"EAD";"EAD";"EAD FP";"EAD";"PRESENCIAL";"PRESENCIAL";"PRESENCIAL";"PRESENCIAL"}, MATCH(CONCATENATE(E1010, ".", F1010),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11" spans="1:42" x14ac:dyDescent="0.25">
      <c r="A1011" s="1" t="s">
        <v>27</v>
      </c>
      <c r="B1011" s="1" t="s">
        <v>54</v>
      </c>
      <c r="C1011" s="1" t="s">
        <v>29</v>
      </c>
      <c r="D1011" s="1" t="s">
        <v>55</v>
      </c>
      <c r="E1011" s="1" t="s">
        <v>120</v>
      </c>
      <c r="F1011" s="1" t="s">
        <v>21</v>
      </c>
      <c r="G1011" s="1" t="s">
        <v>128</v>
      </c>
      <c r="H1011" s="1" t="s">
        <v>526</v>
      </c>
      <c r="I1011" s="1" t="s">
        <v>503</v>
      </c>
      <c r="J1011" s="1" t="s">
        <v>125</v>
      </c>
      <c r="K1011" s="1" t="s">
        <v>163</v>
      </c>
      <c r="L1011" s="1">
        <v>2855523</v>
      </c>
      <c r="M1011" s="1" t="s">
        <v>1185</v>
      </c>
      <c r="N1011" s="5">
        <f t="shared" si="372"/>
        <v>44593</v>
      </c>
      <c r="O1011" s="5">
        <f>DATE(2023,12,23)</f>
        <v>45283</v>
      </c>
      <c r="P1011" s="5">
        <f t="shared" si="351"/>
        <v>46378</v>
      </c>
      <c r="Q1011" s="1">
        <v>1360</v>
      </c>
      <c r="R1011" s="1">
        <v>1200</v>
      </c>
      <c r="S1011" s="1">
        <f t="shared" si="352"/>
        <v>1200</v>
      </c>
      <c r="T1011" s="1">
        <v>2.5</v>
      </c>
      <c r="U1011" s="1" t="str">
        <f t="shared" si="353"/>
        <v>SIM</v>
      </c>
      <c r="V1011" s="1">
        <f t="shared" si="354"/>
        <v>691</v>
      </c>
      <c r="W1011" s="4">
        <f t="shared" si="355"/>
        <v>1.7366136034732271</v>
      </c>
      <c r="X1011" s="4">
        <f t="shared" si="356"/>
        <v>633.86396526772785</v>
      </c>
      <c r="Y1011" s="4">
        <f t="shared" si="357"/>
        <v>0.79232995658465977</v>
      </c>
      <c r="AB1011" s="5">
        <f t="shared" si="358"/>
        <v>45292</v>
      </c>
      <c r="AC1011" s="5">
        <f t="shared" si="359"/>
        <v>45657</v>
      </c>
      <c r="AD1011" s="1">
        <v>28</v>
      </c>
      <c r="AE1011" s="1">
        <f t="shared" si="360"/>
        <v>0</v>
      </c>
      <c r="AF1011" s="1">
        <f t="shared" si="361"/>
        <v>0</v>
      </c>
      <c r="AG1011" s="1">
        <f t="shared" si="362"/>
        <v>0</v>
      </c>
      <c r="AH1011" s="1">
        <f t="shared" si="363"/>
        <v>0</v>
      </c>
      <c r="AI1011" s="1">
        <f t="shared" si="364"/>
        <v>183</v>
      </c>
      <c r="AJ1011" s="3">
        <f t="shared" si="365"/>
        <v>0.5</v>
      </c>
      <c r="AK1011" s="3">
        <f t="shared" si="366"/>
        <v>0.39616497829232988</v>
      </c>
      <c r="AL1011" s="3">
        <f t="shared" si="367"/>
        <v>5.5463096960926181</v>
      </c>
      <c r="AM1011" s="3">
        <f t="shared" si="368"/>
        <v>13.865774240231545</v>
      </c>
      <c r="AN1011" s="3">
        <f t="shared" si="369"/>
        <v>0</v>
      </c>
      <c r="AO1011" s="3">
        <f t="shared" si="370"/>
        <v>13.865774240231545</v>
      </c>
      <c r="AP1011" s="1" t="str">
        <f>INDEX({"EAD";"EAD";"EAD";"EAD MOOC";"EAD";"EAD";"EAD FP";"EAD";"PRESENCIAL";"PRESENCIAL";"PRESENCIAL";"PRESENCIAL"}, MATCH(CONCATENATE(E1011, ".", F1011),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12" spans="1:42" x14ac:dyDescent="0.25">
      <c r="A1012" s="1" t="s">
        <v>27</v>
      </c>
      <c r="B1012" s="1" t="s">
        <v>54</v>
      </c>
      <c r="C1012" s="1" t="s">
        <v>29</v>
      </c>
      <c r="D1012" s="1" t="s">
        <v>55</v>
      </c>
      <c r="E1012" s="1" t="s">
        <v>120</v>
      </c>
      <c r="F1012" s="1" t="s">
        <v>21</v>
      </c>
      <c r="G1012" s="1" t="s">
        <v>128</v>
      </c>
      <c r="H1012" s="1" t="s">
        <v>1166</v>
      </c>
      <c r="I1012" s="1" t="s">
        <v>503</v>
      </c>
      <c r="J1012" s="1" t="s">
        <v>125</v>
      </c>
      <c r="K1012" s="1" t="s">
        <v>130</v>
      </c>
      <c r="L1012" s="1">
        <v>2960535</v>
      </c>
      <c r="M1012" s="1" t="s">
        <v>1186</v>
      </c>
      <c r="N1012" s="5">
        <f t="shared" ref="N1012:N1018" si="373">DATE(2023,2,1)</f>
        <v>44958</v>
      </c>
      <c r="O1012" s="5">
        <f>DATE(2025,12,22)</f>
        <v>46013</v>
      </c>
      <c r="P1012" s="5">
        <f t="shared" si="351"/>
        <v>47108</v>
      </c>
      <c r="Q1012" s="1">
        <v>3706</v>
      </c>
      <c r="R1012" s="1">
        <v>1200</v>
      </c>
      <c r="S1012" s="1">
        <f t="shared" si="352"/>
        <v>3200</v>
      </c>
      <c r="T1012" s="1">
        <v>2.5</v>
      </c>
      <c r="U1012" s="1" t="str">
        <f t="shared" si="353"/>
        <v>SIM</v>
      </c>
      <c r="V1012" s="1">
        <f t="shared" si="354"/>
        <v>1056</v>
      </c>
      <c r="W1012" s="4">
        <f t="shared" si="355"/>
        <v>3.0303030303030303</v>
      </c>
      <c r="X1012" s="4">
        <f t="shared" si="356"/>
        <v>1106.060606060606</v>
      </c>
      <c r="Y1012" s="4">
        <f t="shared" si="357"/>
        <v>1.3825757575757576</v>
      </c>
      <c r="AB1012" s="5">
        <f t="shared" si="358"/>
        <v>45292</v>
      </c>
      <c r="AC1012" s="5">
        <f t="shared" si="359"/>
        <v>45657</v>
      </c>
      <c r="AD1012" s="1">
        <v>48</v>
      </c>
      <c r="AE1012" s="1">
        <f t="shared" si="360"/>
        <v>366</v>
      </c>
      <c r="AF1012" s="1">
        <f t="shared" si="361"/>
        <v>0</v>
      </c>
      <c r="AG1012" s="1">
        <f t="shared" si="362"/>
        <v>0</v>
      </c>
      <c r="AH1012" s="1">
        <f t="shared" si="363"/>
        <v>0</v>
      </c>
      <c r="AI1012" s="1">
        <f t="shared" si="364"/>
        <v>0</v>
      </c>
      <c r="AJ1012" s="3">
        <f t="shared" si="365"/>
        <v>1</v>
      </c>
      <c r="AK1012" s="3">
        <f t="shared" si="366"/>
        <v>1.3825757575757576</v>
      </c>
      <c r="AL1012" s="3">
        <f t="shared" si="367"/>
        <v>66.36363636363636</v>
      </c>
      <c r="AM1012" s="3">
        <f t="shared" si="368"/>
        <v>165.90909090909091</v>
      </c>
      <c r="AN1012" s="3">
        <f t="shared" si="369"/>
        <v>0</v>
      </c>
      <c r="AO1012" s="3">
        <f t="shared" si="370"/>
        <v>165.90909090909091</v>
      </c>
      <c r="AP1012" s="1" t="str">
        <f>INDEX({"EAD";"EAD";"EAD";"EAD MOOC";"EAD";"EAD";"EAD FP";"EAD";"PRESENCIAL";"PRESENCIAL";"PRESENCIAL";"PRESENCIAL"}, MATCH(CONCATENATE(E1012, ".", F1012),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13" spans="1:42" x14ac:dyDescent="0.25">
      <c r="A1013" s="1" t="s">
        <v>27</v>
      </c>
      <c r="B1013" s="1" t="s">
        <v>54</v>
      </c>
      <c r="C1013" s="1" t="s">
        <v>29</v>
      </c>
      <c r="D1013" s="1" t="s">
        <v>55</v>
      </c>
      <c r="E1013" s="1" t="s">
        <v>120</v>
      </c>
      <c r="F1013" s="1" t="s">
        <v>21</v>
      </c>
      <c r="G1013" s="1" t="s">
        <v>128</v>
      </c>
      <c r="H1013" s="1" t="s">
        <v>1162</v>
      </c>
      <c r="I1013" s="1" t="s">
        <v>209</v>
      </c>
      <c r="J1013" s="1" t="s">
        <v>125</v>
      </c>
      <c r="K1013" s="1" t="s">
        <v>130</v>
      </c>
      <c r="L1013" s="1">
        <v>2960541</v>
      </c>
      <c r="M1013" s="1" t="s">
        <v>1187</v>
      </c>
      <c r="N1013" s="5">
        <f t="shared" si="373"/>
        <v>44958</v>
      </c>
      <c r="O1013" s="5">
        <f>DATE(2025,12,22)</f>
        <v>46013</v>
      </c>
      <c r="P1013" s="5">
        <f t="shared" si="351"/>
        <v>47108</v>
      </c>
      <c r="Q1013" s="1">
        <v>3672</v>
      </c>
      <c r="R1013" s="1">
        <v>1200</v>
      </c>
      <c r="S1013" s="1">
        <f t="shared" si="352"/>
        <v>3200</v>
      </c>
      <c r="T1013" s="1">
        <v>1.5</v>
      </c>
      <c r="U1013" s="1" t="str">
        <f t="shared" si="353"/>
        <v>SIM</v>
      </c>
      <c r="V1013" s="1">
        <f t="shared" si="354"/>
        <v>1056</v>
      </c>
      <c r="W1013" s="4">
        <f t="shared" si="355"/>
        <v>3.0303030303030303</v>
      </c>
      <c r="X1013" s="4">
        <f t="shared" si="356"/>
        <v>1106.060606060606</v>
      </c>
      <c r="Y1013" s="4">
        <f t="shared" si="357"/>
        <v>1.3825757575757576</v>
      </c>
      <c r="AB1013" s="5">
        <f t="shared" si="358"/>
        <v>45292</v>
      </c>
      <c r="AC1013" s="5">
        <f t="shared" si="359"/>
        <v>45657</v>
      </c>
      <c r="AD1013" s="1">
        <v>33</v>
      </c>
      <c r="AE1013" s="1">
        <f t="shared" si="360"/>
        <v>366</v>
      </c>
      <c r="AF1013" s="1">
        <f t="shared" si="361"/>
        <v>0</v>
      </c>
      <c r="AG1013" s="1">
        <f t="shared" si="362"/>
        <v>0</v>
      </c>
      <c r="AH1013" s="1">
        <f t="shared" si="363"/>
        <v>0</v>
      </c>
      <c r="AI1013" s="1">
        <f t="shared" si="364"/>
        <v>0</v>
      </c>
      <c r="AJ1013" s="3">
        <f t="shared" si="365"/>
        <v>1</v>
      </c>
      <c r="AK1013" s="3">
        <f t="shared" si="366"/>
        <v>1.3825757575757576</v>
      </c>
      <c r="AL1013" s="3">
        <f t="shared" si="367"/>
        <v>45.625</v>
      </c>
      <c r="AM1013" s="3">
        <f t="shared" si="368"/>
        <v>68.4375</v>
      </c>
      <c r="AN1013" s="3">
        <f t="shared" si="369"/>
        <v>0</v>
      </c>
      <c r="AO1013" s="3">
        <f t="shared" si="370"/>
        <v>68.4375</v>
      </c>
      <c r="AP1013" s="1" t="str">
        <f>INDEX({"EAD";"EAD";"EAD";"EAD MOOC";"EAD";"EAD";"EAD FP";"EAD";"PRESENCIAL";"PRESENCIAL";"PRESENCIAL";"PRESENCIAL"}, MATCH(CONCATENATE(E1013, ".", F1013),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14" spans="1:42" x14ac:dyDescent="0.25">
      <c r="A1014" s="1" t="s">
        <v>27</v>
      </c>
      <c r="B1014" s="1" t="s">
        <v>54</v>
      </c>
      <c r="C1014" s="1" t="s">
        <v>29</v>
      </c>
      <c r="D1014" s="1" t="s">
        <v>55</v>
      </c>
      <c r="E1014" s="1" t="s">
        <v>120</v>
      </c>
      <c r="F1014" s="1" t="s">
        <v>21</v>
      </c>
      <c r="G1014" s="1" t="s">
        <v>128</v>
      </c>
      <c r="H1014" s="1" t="s">
        <v>526</v>
      </c>
      <c r="I1014" s="1" t="s">
        <v>503</v>
      </c>
      <c r="J1014" s="1" t="s">
        <v>125</v>
      </c>
      <c r="K1014" s="1" t="s">
        <v>130</v>
      </c>
      <c r="L1014" s="1">
        <v>2960564</v>
      </c>
      <c r="M1014" s="1" t="s">
        <v>1188</v>
      </c>
      <c r="N1014" s="5">
        <f t="shared" si="373"/>
        <v>44958</v>
      </c>
      <c r="O1014" s="5">
        <f>DATE(2025,12,22)</f>
        <v>46013</v>
      </c>
      <c r="P1014" s="5">
        <f t="shared" si="351"/>
        <v>47108</v>
      </c>
      <c r="Q1014" s="1">
        <v>3672</v>
      </c>
      <c r="R1014" s="1">
        <v>1200</v>
      </c>
      <c r="S1014" s="1">
        <f t="shared" si="352"/>
        <v>3200</v>
      </c>
      <c r="T1014" s="1">
        <v>2.5</v>
      </c>
      <c r="U1014" s="1" t="str">
        <f t="shared" si="353"/>
        <v>SIM</v>
      </c>
      <c r="V1014" s="1">
        <f t="shared" si="354"/>
        <v>1056</v>
      </c>
      <c r="W1014" s="4">
        <f t="shared" si="355"/>
        <v>3.0303030303030303</v>
      </c>
      <c r="X1014" s="4">
        <f t="shared" si="356"/>
        <v>1106.060606060606</v>
      </c>
      <c r="Y1014" s="4">
        <f t="shared" si="357"/>
        <v>1.3825757575757576</v>
      </c>
      <c r="AB1014" s="5">
        <f t="shared" si="358"/>
        <v>45292</v>
      </c>
      <c r="AC1014" s="5">
        <f t="shared" si="359"/>
        <v>45657</v>
      </c>
      <c r="AD1014" s="1">
        <v>57</v>
      </c>
      <c r="AE1014" s="1">
        <f t="shared" si="360"/>
        <v>366</v>
      </c>
      <c r="AF1014" s="1">
        <f t="shared" si="361"/>
        <v>0</v>
      </c>
      <c r="AG1014" s="1">
        <f t="shared" si="362"/>
        <v>0</v>
      </c>
      <c r="AH1014" s="1">
        <f t="shared" si="363"/>
        <v>0</v>
      </c>
      <c r="AI1014" s="1">
        <f t="shared" si="364"/>
        <v>0</v>
      </c>
      <c r="AJ1014" s="3">
        <f t="shared" si="365"/>
        <v>1</v>
      </c>
      <c r="AK1014" s="3">
        <f t="shared" si="366"/>
        <v>1.3825757575757576</v>
      </c>
      <c r="AL1014" s="3">
        <f t="shared" si="367"/>
        <v>78.806818181818187</v>
      </c>
      <c r="AM1014" s="3">
        <f t="shared" si="368"/>
        <v>197.01704545454547</v>
      </c>
      <c r="AN1014" s="3">
        <f t="shared" si="369"/>
        <v>0</v>
      </c>
      <c r="AO1014" s="3">
        <f t="shared" si="370"/>
        <v>197.01704545454547</v>
      </c>
      <c r="AP1014" s="1" t="str">
        <f>INDEX({"EAD";"EAD";"EAD";"EAD MOOC";"EAD";"EAD";"EAD FP";"EAD";"PRESENCIAL";"PRESENCIAL";"PRESENCIAL";"PRESENCIAL"}, MATCH(CONCATENATE(E1014, ".", F1014),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15" spans="1:42" x14ac:dyDescent="0.25">
      <c r="A1015" s="1" t="s">
        <v>27</v>
      </c>
      <c r="B1015" s="1" t="s">
        <v>54</v>
      </c>
      <c r="C1015" s="1" t="s">
        <v>29</v>
      </c>
      <c r="D1015" s="1" t="s">
        <v>55</v>
      </c>
      <c r="E1015" s="1" t="s">
        <v>120</v>
      </c>
      <c r="F1015" s="1" t="s">
        <v>21</v>
      </c>
      <c r="G1015" s="1" t="s">
        <v>128</v>
      </c>
      <c r="H1015" s="1" t="s">
        <v>1169</v>
      </c>
      <c r="I1015" s="1" t="s">
        <v>124</v>
      </c>
      <c r="J1015" s="1" t="s">
        <v>125</v>
      </c>
      <c r="K1015" s="1" t="s">
        <v>130</v>
      </c>
      <c r="L1015" s="1">
        <v>2960599</v>
      </c>
      <c r="M1015" s="1" t="s">
        <v>1189</v>
      </c>
      <c r="N1015" s="5">
        <f t="shared" si="373"/>
        <v>44958</v>
      </c>
      <c r="O1015" s="5">
        <f>DATE(2025,12,22)</f>
        <v>46013</v>
      </c>
      <c r="P1015" s="5">
        <f t="shared" si="351"/>
        <v>47108</v>
      </c>
      <c r="Q1015" s="1">
        <v>3264</v>
      </c>
      <c r="R1015" s="1">
        <v>800</v>
      </c>
      <c r="S1015" s="1">
        <f t="shared" si="352"/>
        <v>3000</v>
      </c>
      <c r="T1015" s="1">
        <v>1.5</v>
      </c>
      <c r="U1015" s="1" t="str">
        <f t="shared" si="353"/>
        <v>SIM</v>
      </c>
      <c r="V1015" s="1">
        <f t="shared" si="354"/>
        <v>1056</v>
      </c>
      <c r="W1015" s="4">
        <f t="shared" si="355"/>
        <v>2.8409090909090908</v>
      </c>
      <c r="X1015" s="4">
        <f t="shared" si="356"/>
        <v>1036.9318181818182</v>
      </c>
      <c r="Y1015" s="4">
        <f t="shared" si="357"/>
        <v>1.2961647727272727</v>
      </c>
      <c r="AB1015" s="5">
        <f t="shared" si="358"/>
        <v>45292</v>
      </c>
      <c r="AC1015" s="5">
        <f t="shared" si="359"/>
        <v>45657</v>
      </c>
      <c r="AD1015" s="1">
        <v>66</v>
      </c>
      <c r="AE1015" s="1">
        <f t="shared" si="360"/>
        <v>366</v>
      </c>
      <c r="AF1015" s="1">
        <f t="shared" si="361"/>
        <v>0</v>
      </c>
      <c r="AG1015" s="1">
        <f t="shared" si="362"/>
        <v>0</v>
      </c>
      <c r="AH1015" s="1">
        <f t="shared" si="363"/>
        <v>0</v>
      </c>
      <c r="AI1015" s="1">
        <f t="shared" si="364"/>
        <v>0</v>
      </c>
      <c r="AJ1015" s="3">
        <f t="shared" si="365"/>
        <v>1</v>
      </c>
      <c r="AK1015" s="3">
        <f t="shared" si="366"/>
        <v>1.2961647727272727</v>
      </c>
      <c r="AL1015" s="3">
        <f t="shared" si="367"/>
        <v>85.546875</v>
      </c>
      <c r="AM1015" s="3">
        <f t="shared" si="368"/>
        <v>128.3203125</v>
      </c>
      <c r="AN1015" s="3">
        <f t="shared" si="369"/>
        <v>0</v>
      </c>
      <c r="AO1015" s="3">
        <f t="shared" si="370"/>
        <v>128.3203125</v>
      </c>
      <c r="AP1015" s="1" t="str">
        <f>INDEX({"EAD";"EAD";"EAD";"EAD MOOC";"EAD";"EAD";"EAD FP";"EAD";"PRESENCIAL";"PRESENCIAL";"PRESENCIAL";"PRESENCIAL"}, MATCH(CONCATENATE(E1015, ".", F1015),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16" spans="1:42" x14ac:dyDescent="0.25">
      <c r="A1016" s="1" t="s">
        <v>27</v>
      </c>
      <c r="B1016" s="1" t="s">
        <v>54</v>
      </c>
      <c r="C1016" s="1" t="s">
        <v>29</v>
      </c>
      <c r="D1016" s="1" t="s">
        <v>55</v>
      </c>
      <c r="E1016" s="1" t="s">
        <v>120</v>
      </c>
      <c r="F1016" s="1" t="s">
        <v>21</v>
      </c>
      <c r="G1016" s="1" t="s">
        <v>140</v>
      </c>
      <c r="H1016" s="1" t="s">
        <v>1146</v>
      </c>
      <c r="I1016" s="1" t="s">
        <v>209</v>
      </c>
      <c r="J1016" s="1" t="s">
        <v>125</v>
      </c>
      <c r="K1016" s="1" t="s">
        <v>109</v>
      </c>
      <c r="L1016" s="1">
        <v>2960701</v>
      </c>
      <c r="M1016" s="1" t="s">
        <v>1190</v>
      </c>
      <c r="N1016" s="5">
        <f t="shared" si="373"/>
        <v>44958</v>
      </c>
      <c r="O1016" s="5">
        <f>DATE(2025,12,22)</f>
        <v>46013</v>
      </c>
      <c r="P1016" s="5">
        <f t="shared" si="351"/>
        <v>47108</v>
      </c>
      <c r="Q1016" s="1">
        <v>2194</v>
      </c>
      <c r="R1016" s="1">
        <v>2000</v>
      </c>
      <c r="S1016" s="1">
        <f t="shared" si="352"/>
        <v>2000</v>
      </c>
      <c r="T1016" s="1">
        <v>1.5</v>
      </c>
      <c r="U1016" s="1" t="str">
        <f t="shared" si="353"/>
        <v>SIM</v>
      </c>
      <c r="V1016" s="1">
        <f t="shared" si="354"/>
        <v>1056</v>
      </c>
      <c r="W1016" s="4">
        <f t="shared" si="355"/>
        <v>1.893939393939394</v>
      </c>
      <c r="X1016" s="4">
        <f t="shared" si="356"/>
        <v>691.28787878787887</v>
      </c>
      <c r="Y1016" s="4">
        <f t="shared" si="357"/>
        <v>0.86410984848484862</v>
      </c>
      <c r="AB1016" s="5">
        <f t="shared" si="358"/>
        <v>45292</v>
      </c>
      <c r="AC1016" s="5">
        <f t="shared" si="359"/>
        <v>45657</v>
      </c>
      <c r="AD1016" s="1">
        <v>32</v>
      </c>
      <c r="AE1016" s="1">
        <f t="shared" si="360"/>
        <v>366</v>
      </c>
      <c r="AF1016" s="1">
        <f t="shared" si="361"/>
        <v>0</v>
      </c>
      <c r="AG1016" s="1">
        <f t="shared" si="362"/>
        <v>0</v>
      </c>
      <c r="AH1016" s="1">
        <f t="shared" si="363"/>
        <v>0</v>
      </c>
      <c r="AI1016" s="1">
        <f t="shared" si="364"/>
        <v>0</v>
      </c>
      <c r="AJ1016" s="3">
        <f t="shared" si="365"/>
        <v>1</v>
      </c>
      <c r="AK1016" s="3">
        <f t="shared" si="366"/>
        <v>0.86410984848484862</v>
      </c>
      <c r="AL1016" s="3">
        <f t="shared" si="367"/>
        <v>27.651515151515156</v>
      </c>
      <c r="AM1016" s="3">
        <f t="shared" si="368"/>
        <v>41.477272727272734</v>
      </c>
      <c r="AN1016" s="3">
        <f t="shared" si="369"/>
        <v>0</v>
      </c>
      <c r="AO1016" s="3">
        <f t="shared" si="370"/>
        <v>41.477272727272734</v>
      </c>
      <c r="AP1016" s="1" t="str">
        <f>INDEX({"EAD";"EAD";"EAD";"EAD MOOC";"EAD";"EAD";"EAD FP";"EAD";"PRESENCIAL";"PRESENCIAL";"PRESENCIAL";"PRESENCIAL"}, MATCH(CONCATENATE(E1016, ".", F1016),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17" spans="1:42" x14ac:dyDescent="0.25">
      <c r="A1017" s="1" t="s">
        <v>27</v>
      </c>
      <c r="B1017" s="1" t="s">
        <v>54</v>
      </c>
      <c r="C1017" s="1" t="s">
        <v>29</v>
      </c>
      <c r="D1017" s="1" t="s">
        <v>55</v>
      </c>
      <c r="E1017" s="1" t="s">
        <v>120</v>
      </c>
      <c r="F1017" s="1" t="s">
        <v>21</v>
      </c>
      <c r="G1017" s="1" t="s">
        <v>121</v>
      </c>
      <c r="H1017" s="1" t="s">
        <v>508</v>
      </c>
      <c r="I1017" s="1" t="s">
        <v>503</v>
      </c>
      <c r="J1017" s="1" t="s">
        <v>125</v>
      </c>
      <c r="K1017" s="1" t="s">
        <v>109</v>
      </c>
      <c r="L1017" s="1">
        <v>2960712</v>
      </c>
      <c r="M1017" s="1" t="s">
        <v>1191</v>
      </c>
      <c r="N1017" s="5">
        <f t="shared" si="373"/>
        <v>44958</v>
      </c>
      <c r="O1017" s="5">
        <f>DATE(2027,12,20)</f>
        <v>46741</v>
      </c>
      <c r="P1017" s="5">
        <f t="shared" si="351"/>
        <v>47836</v>
      </c>
      <c r="Q1017" s="1">
        <v>4552</v>
      </c>
      <c r="R1017" s="1">
        <v>3600</v>
      </c>
      <c r="S1017" s="1">
        <f t="shared" si="352"/>
        <v>3600</v>
      </c>
      <c r="T1017" s="1">
        <v>2.5</v>
      </c>
      <c r="U1017" s="1" t="str">
        <f t="shared" si="353"/>
        <v>SIM</v>
      </c>
      <c r="V1017" s="1">
        <f t="shared" si="354"/>
        <v>1784</v>
      </c>
      <c r="W1017" s="4">
        <f t="shared" si="355"/>
        <v>2.0179372197309418</v>
      </c>
      <c r="X1017" s="4">
        <f t="shared" si="356"/>
        <v>736.54708520179372</v>
      </c>
      <c r="Y1017" s="4">
        <f t="shared" si="357"/>
        <v>0.92068385650224216</v>
      </c>
      <c r="AB1017" s="5">
        <f t="shared" si="358"/>
        <v>45292</v>
      </c>
      <c r="AC1017" s="5">
        <f t="shared" si="359"/>
        <v>45657</v>
      </c>
      <c r="AD1017" s="1">
        <v>30</v>
      </c>
      <c r="AE1017" s="1">
        <f t="shared" si="360"/>
        <v>366</v>
      </c>
      <c r="AF1017" s="1">
        <f t="shared" si="361"/>
        <v>0</v>
      </c>
      <c r="AG1017" s="1">
        <f t="shared" si="362"/>
        <v>0</v>
      </c>
      <c r="AH1017" s="1">
        <f t="shared" si="363"/>
        <v>0</v>
      </c>
      <c r="AI1017" s="1">
        <f t="shared" si="364"/>
        <v>0</v>
      </c>
      <c r="AJ1017" s="3">
        <f t="shared" si="365"/>
        <v>1</v>
      </c>
      <c r="AK1017" s="3">
        <f t="shared" si="366"/>
        <v>0.92068385650224216</v>
      </c>
      <c r="AL1017" s="3">
        <f t="shared" si="367"/>
        <v>27.620515695067265</v>
      </c>
      <c r="AM1017" s="3">
        <f t="shared" si="368"/>
        <v>69.051289237668158</v>
      </c>
      <c r="AN1017" s="3">
        <f t="shared" si="369"/>
        <v>0</v>
      </c>
      <c r="AO1017" s="3">
        <f t="shared" si="370"/>
        <v>69.051289237668158</v>
      </c>
      <c r="AP1017" s="1" t="str">
        <f>INDEX({"EAD";"EAD";"EAD";"EAD MOOC";"EAD";"EAD";"EAD FP";"EAD";"PRESENCIAL";"PRESENCIAL";"PRESENCIAL";"PRESENCIAL"}, MATCH(CONCATENATE(E1017, ".", F1017),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18" spans="1:42" x14ac:dyDescent="0.25">
      <c r="A1018" s="1" t="s">
        <v>27</v>
      </c>
      <c r="B1018" s="1" t="s">
        <v>54</v>
      </c>
      <c r="C1018" s="1" t="s">
        <v>29</v>
      </c>
      <c r="D1018" s="1" t="s">
        <v>55</v>
      </c>
      <c r="E1018" s="1" t="s">
        <v>120</v>
      </c>
      <c r="F1018" s="1" t="s">
        <v>21</v>
      </c>
      <c r="G1018" s="1" t="s">
        <v>278</v>
      </c>
      <c r="H1018" s="1" t="s">
        <v>279</v>
      </c>
      <c r="I1018" s="1" t="s">
        <v>172</v>
      </c>
      <c r="J1018" s="1" t="s">
        <v>125</v>
      </c>
      <c r="K1018" s="1" t="s">
        <v>109</v>
      </c>
      <c r="L1018" s="1">
        <v>2960719</v>
      </c>
      <c r="M1018" s="1" t="s">
        <v>1192</v>
      </c>
      <c r="N1018" s="5">
        <f t="shared" si="373"/>
        <v>44958</v>
      </c>
      <c r="O1018" s="5">
        <f>DATE(2026,12,21)</f>
        <v>46377</v>
      </c>
      <c r="P1018" s="5">
        <f t="shared" si="351"/>
        <v>47472</v>
      </c>
      <c r="Q1018" s="1">
        <v>3260</v>
      </c>
      <c r="R1018" s="1">
        <v>3200</v>
      </c>
      <c r="S1018" s="1">
        <f t="shared" si="352"/>
        <v>3200</v>
      </c>
      <c r="T1018" s="1">
        <v>2.5</v>
      </c>
      <c r="U1018" s="1" t="str">
        <f t="shared" si="353"/>
        <v>SIM</v>
      </c>
      <c r="V1018" s="1">
        <f t="shared" si="354"/>
        <v>1420</v>
      </c>
      <c r="W1018" s="4">
        <f t="shared" si="355"/>
        <v>2.2535211267605635</v>
      </c>
      <c r="X1018" s="4">
        <f t="shared" si="356"/>
        <v>822.53521126760563</v>
      </c>
      <c r="Y1018" s="4">
        <f t="shared" si="357"/>
        <v>1.028169014084507</v>
      </c>
      <c r="AB1018" s="5">
        <f t="shared" si="358"/>
        <v>45292</v>
      </c>
      <c r="AC1018" s="5">
        <f t="shared" si="359"/>
        <v>45657</v>
      </c>
      <c r="AD1018" s="1">
        <v>30</v>
      </c>
      <c r="AE1018" s="1">
        <f t="shared" si="360"/>
        <v>366</v>
      </c>
      <c r="AF1018" s="1">
        <f t="shared" si="361"/>
        <v>0</v>
      </c>
      <c r="AG1018" s="1">
        <f t="shared" si="362"/>
        <v>0</v>
      </c>
      <c r="AH1018" s="1">
        <f t="shared" si="363"/>
        <v>0</v>
      </c>
      <c r="AI1018" s="1">
        <f t="shared" si="364"/>
        <v>0</v>
      </c>
      <c r="AJ1018" s="3">
        <f t="shared" si="365"/>
        <v>1</v>
      </c>
      <c r="AK1018" s="3">
        <f t="shared" si="366"/>
        <v>1.028169014084507</v>
      </c>
      <c r="AL1018" s="3">
        <f t="shared" si="367"/>
        <v>30.845070422535208</v>
      </c>
      <c r="AM1018" s="3">
        <f t="shared" si="368"/>
        <v>77.112676056338017</v>
      </c>
      <c r="AN1018" s="3">
        <f t="shared" si="369"/>
        <v>0</v>
      </c>
      <c r="AO1018" s="3">
        <f t="shared" si="370"/>
        <v>77.112676056338017</v>
      </c>
      <c r="AP1018" s="1" t="str">
        <f>INDEX({"EAD";"EAD";"EAD";"EAD MOOC";"EAD";"EAD";"EAD FP";"EAD";"PRESENCIAL";"PRESENCIAL";"PRESENCIAL";"PRESENCIAL"}, MATCH(CONCATENATE(E1018, ".", F1018),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19" spans="1:42" x14ac:dyDescent="0.25">
      <c r="A1019" s="1" t="s">
        <v>27</v>
      </c>
      <c r="B1019" s="1" t="s">
        <v>54</v>
      </c>
      <c r="C1019" s="1" t="s">
        <v>29</v>
      </c>
      <c r="D1019" s="1" t="s">
        <v>55</v>
      </c>
      <c r="E1019" s="1" t="s">
        <v>170</v>
      </c>
      <c r="F1019" s="1" t="s">
        <v>21</v>
      </c>
      <c r="G1019" s="1" t="s">
        <v>128</v>
      </c>
      <c r="H1019" s="1" t="s">
        <v>176</v>
      </c>
      <c r="I1019" s="1" t="s">
        <v>172</v>
      </c>
      <c r="J1019" s="1" t="s">
        <v>125</v>
      </c>
      <c r="K1019" s="1" t="s">
        <v>163</v>
      </c>
      <c r="L1019" s="1">
        <v>2966660</v>
      </c>
      <c r="M1019" s="1" t="s">
        <v>302</v>
      </c>
      <c r="N1019" s="5">
        <f>DATE(2023,4,3)</f>
        <v>45019</v>
      </c>
      <c r="O1019" s="5">
        <f>DATE(2024,10,31)</f>
        <v>45596</v>
      </c>
      <c r="P1019" s="5">
        <f t="shared" si="351"/>
        <v>46691</v>
      </c>
      <c r="Q1019" s="1">
        <v>800</v>
      </c>
      <c r="R1019" s="1">
        <v>800</v>
      </c>
      <c r="S1019" s="1">
        <f t="shared" si="352"/>
        <v>800</v>
      </c>
      <c r="T1019" s="1">
        <v>1.5</v>
      </c>
      <c r="U1019" s="1" t="str">
        <f t="shared" si="353"/>
        <v>SIM</v>
      </c>
      <c r="V1019" s="1">
        <f t="shared" si="354"/>
        <v>578</v>
      </c>
      <c r="W1019" s="4">
        <f t="shared" si="355"/>
        <v>1.3840830449826989</v>
      </c>
      <c r="X1019" s="4">
        <f t="shared" si="356"/>
        <v>505.1903114186851</v>
      </c>
      <c r="Y1019" s="4">
        <f t="shared" si="357"/>
        <v>0.63148788927335642</v>
      </c>
      <c r="AB1019" s="5">
        <f t="shared" si="358"/>
        <v>45292</v>
      </c>
      <c r="AC1019" s="5">
        <f t="shared" si="359"/>
        <v>45657</v>
      </c>
      <c r="AD1019" s="1">
        <v>17</v>
      </c>
      <c r="AE1019" s="1">
        <f t="shared" si="360"/>
        <v>0</v>
      </c>
      <c r="AF1019" s="1">
        <f t="shared" si="361"/>
        <v>0</v>
      </c>
      <c r="AG1019" s="1">
        <f t="shared" si="362"/>
        <v>305</v>
      </c>
      <c r="AH1019" s="1">
        <f t="shared" si="363"/>
        <v>0</v>
      </c>
      <c r="AI1019" s="1">
        <f t="shared" si="364"/>
        <v>0</v>
      </c>
      <c r="AJ1019" s="3">
        <f t="shared" si="365"/>
        <v>0.83333333333333337</v>
      </c>
      <c r="AK1019" s="3">
        <f t="shared" si="366"/>
        <v>0.52623990772779705</v>
      </c>
      <c r="AL1019" s="3">
        <f t="shared" si="367"/>
        <v>8.9460784313725501</v>
      </c>
      <c r="AM1019" s="3">
        <f t="shared" si="368"/>
        <v>13.419117647058826</v>
      </c>
      <c r="AN1019" s="3">
        <f t="shared" si="369"/>
        <v>0</v>
      </c>
      <c r="AO1019" s="3">
        <f t="shared" si="370"/>
        <v>13.419117647058826</v>
      </c>
      <c r="AP1019" s="1" t="str">
        <f>INDEX({"EAD";"EAD";"EAD";"EAD MOOC";"EAD";"EAD";"EAD FP";"EAD";"PRESENCIAL";"PRESENCIAL";"PRESENCIAL";"PRESENCIAL"}, MATCH(CONCATENATE(E1019, ".", F1019),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020" spans="1:42" x14ac:dyDescent="0.25">
      <c r="A1020" s="1" t="s">
        <v>27</v>
      </c>
      <c r="B1020" s="1" t="s">
        <v>54</v>
      </c>
      <c r="C1020" s="1" t="s">
        <v>29</v>
      </c>
      <c r="D1020" s="1" t="s">
        <v>55</v>
      </c>
      <c r="E1020" s="1" t="s">
        <v>170</v>
      </c>
      <c r="F1020" s="1" t="s">
        <v>21</v>
      </c>
      <c r="G1020" s="1" t="s">
        <v>128</v>
      </c>
      <c r="H1020" s="1" t="s">
        <v>174</v>
      </c>
      <c r="I1020" s="1" t="s">
        <v>172</v>
      </c>
      <c r="J1020" s="1" t="s">
        <v>125</v>
      </c>
      <c r="K1020" s="1" t="s">
        <v>163</v>
      </c>
      <c r="L1020" s="1">
        <v>2966663</v>
      </c>
      <c r="M1020" s="1" t="s">
        <v>301</v>
      </c>
      <c r="N1020" s="5">
        <f>DATE(2023,4,3)</f>
        <v>45019</v>
      </c>
      <c r="O1020" s="5">
        <f>DATE(2024,10,31)</f>
        <v>45596</v>
      </c>
      <c r="P1020" s="5">
        <f t="shared" si="351"/>
        <v>46691</v>
      </c>
      <c r="Q1020" s="1">
        <v>1200</v>
      </c>
      <c r="R1020" s="1">
        <v>1200</v>
      </c>
      <c r="S1020" s="1">
        <f t="shared" si="352"/>
        <v>1200</v>
      </c>
      <c r="T1020" s="1">
        <v>1</v>
      </c>
      <c r="U1020" s="1" t="str">
        <f t="shared" si="353"/>
        <v>SIM</v>
      </c>
      <c r="V1020" s="1">
        <f t="shared" si="354"/>
        <v>578</v>
      </c>
      <c r="W1020" s="4">
        <f t="shared" si="355"/>
        <v>2.0761245674740483</v>
      </c>
      <c r="X1020" s="4">
        <f t="shared" si="356"/>
        <v>757.78546712802768</v>
      </c>
      <c r="Y1020" s="4">
        <f t="shared" si="357"/>
        <v>0.94723183391003463</v>
      </c>
      <c r="AB1020" s="5">
        <f t="shared" si="358"/>
        <v>45292</v>
      </c>
      <c r="AC1020" s="5">
        <f t="shared" si="359"/>
        <v>45657</v>
      </c>
      <c r="AD1020" s="1">
        <v>19</v>
      </c>
      <c r="AE1020" s="1">
        <f t="shared" si="360"/>
        <v>0</v>
      </c>
      <c r="AF1020" s="1">
        <f t="shared" si="361"/>
        <v>0</v>
      </c>
      <c r="AG1020" s="1">
        <f t="shared" si="362"/>
        <v>305</v>
      </c>
      <c r="AH1020" s="1">
        <f t="shared" si="363"/>
        <v>0</v>
      </c>
      <c r="AI1020" s="1">
        <f t="shared" si="364"/>
        <v>0</v>
      </c>
      <c r="AJ1020" s="3">
        <f t="shared" si="365"/>
        <v>0.83333333333333337</v>
      </c>
      <c r="AK1020" s="3">
        <f t="shared" si="366"/>
        <v>0.78935986159169558</v>
      </c>
      <c r="AL1020" s="3">
        <f t="shared" si="367"/>
        <v>14.997837370242216</v>
      </c>
      <c r="AM1020" s="3">
        <f t="shared" si="368"/>
        <v>14.997837370242216</v>
      </c>
      <c r="AN1020" s="3">
        <f t="shared" si="369"/>
        <v>0</v>
      </c>
      <c r="AO1020" s="3">
        <f t="shared" si="370"/>
        <v>14.997837370242216</v>
      </c>
      <c r="AP1020" s="1" t="str">
        <f>INDEX({"EAD";"EAD";"EAD";"EAD MOOC";"EAD";"EAD";"EAD FP";"EAD";"PRESENCIAL";"PRESENCIAL";"PRESENCIAL";"PRESENCIAL"}, MATCH(CONCATENATE(E1020, ".", F1020),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021" spans="1:42" x14ac:dyDescent="0.25">
      <c r="A1021" s="1" t="s">
        <v>27</v>
      </c>
      <c r="B1021" s="1" t="s">
        <v>54</v>
      </c>
      <c r="C1021" s="1" t="s">
        <v>29</v>
      </c>
      <c r="D1021" s="1" t="s">
        <v>55</v>
      </c>
      <c r="E1021" s="1" t="s">
        <v>170</v>
      </c>
      <c r="F1021" s="1" t="s">
        <v>21</v>
      </c>
      <c r="G1021" s="1" t="s">
        <v>128</v>
      </c>
      <c r="H1021" s="1" t="s">
        <v>171</v>
      </c>
      <c r="I1021" s="1" t="s">
        <v>172</v>
      </c>
      <c r="J1021" s="1" t="s">
        <v>125</v>
      </c>
      <c r="K1021" s="1" t="s">
        <v>163</v>
      </c>
      <c r="L1021" s="1">
        <v>2966664</v>
      </c>
      <c r="M1021" s="1" t="s">
        <v>300</v>
      </c>
      <c r="N1021" s="5">
        <f>DATE(2023,4,3)</f>
        <v>45019</v>
      </c>
      <c r="O1021" s="5">
        <f>DATE(2024,10,31)</f>
        <v>45596</v>
      </c>
      <c r="P1021" s="5">
        <f t="shared" si="351"/>
        <v>46691</v>
      </c>
      <c r="Q1021" s="1">
        <v>1200</v>
      </c>
      <c r="R1021" s="1">
        <v>1200</v>
      </c>
      <c r="S1021" s="1">
        <f t="shared" si="352"/>
        <v>1200</v>
      </c>
      <c r="T1021" s="1">
        <v>2</v>
      </c>
      <c r="U1021" s="1" t="str">
        <f t="shared" si="353"/>
        <v>SIM</v>
      </c>
      <c r="V1021" s="1">
        <f t="shared" si="354"/>
        <v>578</v>
      </c>
      <c r="W1021" s="4">
        <f t="shared" si="355"/>
        <v>2.0761245674740483</v>
      </c>
      <c r="X1021" s="4">
        <f t="shared" si="356"/>
        <v>757.78546712802768</v>
      </c>
      <c r="Y1021" s="4">
        <f t="shared" si="357"/>
        <v>0.94723183391003463</v>
      </c>
      <c r="AB1021" s="5">
        <f t="shared" si="358"/>
        <v>45292</v>
      </c>
      <c r="AC1021" s="5">
        <f t="shared" si="359"/>
        <v>45657</v>
      </c>
      <c r="AD1021" s="1">
        <v>14</v>
      </c>
      <c r="AE1021" s="1">
        <f t="shared" si="360"/>
        <v>0</v>
      </c>
      <c r="AF1021" s="1">
        <f t="shared" si="361"/>
        <v>0</v>
      </c>
      <c r="AG1021" s="1">
        <f t="shared" si="362"/>
        <v>305</v>
      </c>
      <c r="AH1021" s="1">
        <f t="shared" si="363"/>
        <v>0</v>
      </c>
      <c r="AI1021" s="1">
        <f t="shared" si="364"/>
        <v>0</v>
      </c>
      <c r="AJ1021" s="3">
        <f t="shared" si="365"/>
        <v>0.83333333333333337</v>
      </c>
      <c r="AK1021" s="3">
        <f t="shared" si="366"/>
        <v>0.78935986159169558</v>
      </c>
      <c r="AL1021" s="3">
        <f t="shared" si="367"/>
        <v>11.051038062283737</v>
      </c>
      <c r="AM1021" s="3">
        <f t="shared" si="368"/>
        <v>22.102076124567475</v>
      </c>
      <c r="AN1021" s="3">
        <f t="shared" si="369"/>
        <v>0</v>
      </c>
      <c r="AO1021" s="3">
        <f t="shared" si="370"/>
        <v>22.102076124567475</v>
      </c>
      <c r="AP1021" s="1" t="str">
        <f>INDEX({"EAD";"EAD";"EAD";"EAD MOOC";"EAD";"EAD";"EAD FP";"EAD";"PRESENCIAL";"PRESENCIAL";"PRESENCIAL";"PRESENCIAL"}, MATCH(CONCATENATE(E1021, ".", F1021),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022" spans="1:42" x14ac:dyDescent="0.25">
      <c r="A1022" s="1" t="s">
        <v>27</v>
      </c>
      <c r="B1022" s="1" t="s">
        <v>54</v>
      </c>
      <c r="C1022" s="1" t="s">
        <v>29</v>
      </c>
      <c r="D1022" s="1" t="s">
        <v>55</v>
      </c>
      <c r="E1022" s="1" t="s">
        <v>120</v>
      </c>
      <c r="F1022" s="1" t="s">
        <v>21</v>
      </c>
      <c r="G1022" s="1" t="s">
        <v>128</v>
      </c>
      <c r="H1022" s="1" t="s">
        <v>1171</v>
      </c>
      <c r="I1022" s="1" t="s">
        <v>503</v>
      </c>
      <c r="J1022" s="1" t="s">
        <v>125</v>
      </c>
      <c r="K1022" s="1" t="s">
        <v>163</v>
      </c>
      <c r="L1022" s="1">
        <v>3020642</v>
      </c>
      <c r="M1022" s="1" t="s">
        <v>1193</v>
      </c>
      <c r="N1022" s="5">
        <f>DATE(2023,7,26)</f>
        <v>45133</v>
      </c>
      <c r="O1022" s="5">
        <f>DATE(2025,7,4)</f>
        <v>45842</v>
      </c>
      <c r="P1022" s="5">
        <f t="shared" si="351"/>
        <v>46937</v>
      </c>
      <c r="Q1022" s="1">
        <v>1309</v>
      </c>
      <c r="R1022" s="1">
        <v>1200</v>
      </c>
      <c r="S1022" s="1">
        <f t="shared" si="352"/>
        <v>1200</v>
      </c>
      <c r="T1022" s="1">
        <v>2.5</v>
      </c>
      <c r="U1022" s="1" t="str">
        <f t="shared" si="353"/>
        <v>SIM</v>
      </c>
      <c r="V1022" s="1">
        <f t="shared" si="354"/>
        <v>710</v>
      </c>
      <c r="W1022" s="4">
        <f t="shared" si="355"/>
        <v>1.6901408450704225</v>
      </c>
      <c r="X1022" s="4">
        <f t="shared" si="356"/>
        <v>616.90140845070425</v>
      </c>
      <c r="Y1022" s="4">
        <f t="shared" si="357"/>
        <v>0.77112676056338036</v>
      </c>
      <c r="AB1022" s="5">
        <f t="shared" si="358"/>
        <v>45292</v>
      </c>
      <c r="AC1022" s="5">
        <f t="shared" si="359"/>
        <v>45657</v>
      </c>
      <c r="AD1022" s="1">
        <v>23</v>
      </c>
      <c r="AE1022" s="1">
        <f t="shared" si="360"/>
        <v>366</v>
      </c>
      <c r="AF1022" s="1">
        <f t="shared" si="361"/>
        <v>0</v>
      </c>
      <c r="AG1022" s="1">
        <f t="shared" si="362"/>
        <v>0</v>
      </c>
      <c r="AH1022" s="1">
        <f t="shared" si="363"/>
        <v>0</v>
      </c>
      <c r="AI1022" s="1">
        <f t="shared" si="364"/>
        <v>0</v>
      </c>
      <c r="AJ1022" s="3">
        <f t="shared" si="365"/>
        <v>1</v>
      </c>
      <c r="AK1022" s="3">
        <f t="shared" si="366"/>
        <v>0.77112676056338036</v>
      </c>
      <c r="AL1022" s="3">
        <f t="shared" si="367"/>
        <v>17.735915492957748</v>
      </c>
      <c r="AM1022" s="3">
        <f t="shared" si="368"/>
        <v>44.339788732394368</v>
      </c>
      <c r="AN1022" s="3">
        <f t="shared" si="369"/>
        <v>0</v>
      </c>
      <c r="AO1022" s="3">
        <f t="shared" si="370"/>
        <v>44.339788732394368</v>
      </c>
      <c r="AP1022" s="1" t="str">
        <f>INDEX({"EAD";"EAD";"EAD";"EAD MOOC";"EAD";"EAD";"EAD FP";"EAD";"PRESENCIAL";"PRESENCIAL";"PRESENCIAL";"PRESENCIAL"}, MATCH(CONCATENATE(E1022, ".", F1022),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23" spans="1:42" x14ac:dyDescent="0.25">
      <c r="A1023" s="1" t="s">
        <v>27</v>
      </c>
      <c r="B1023" s="1" t="s">
        <v>54</v>
      </c>
      <c r="C1023" s="1" t="s">
        <v>29</v>
      </c>
      <c r="D1023" s="1" t="s">
        <v>55</v>
      </c>
      <c r="E1023" s="1" t="s">
        <v>120</v>
      </c>
      <c r="F1023" s="1" t="s">
        <v>21</v>
      </c>
      <c r="G1023" s="1" t="s">
        <v>128</v>
      </c>
      <c r="H1023" s="1" t="s">
        <v>129</v>
      </c>
      <c r="I1023" s="1" t="s">
        <v>124</v>
      </c>
      <c r="J1023" s="1" t="s">
        <v>125</v>
      </c>
      <c r="K1023" s="1" t="s">
        <v>259</v>
      </c>
      <c r="L1023" s="1">
        <v>3040971</v>
      </c>
      <c r="M1023" s="1" t="s">
        <v>1127</v>
      </c>
      <c r="N1023" s="5">
        <f>DATE(2023,9,1)</f>
        <v>45170</v>
      </c>
      <c r="O1023" s="5">
        <f>DATE(2025,12,31)</f>
        <v>46022</v>
      </c>
      <c r="P1023" s="5">
        <f t="shared" si="351"/>
        <v>47117</v>
      </c>
      <c r="Q1023" s="1">
        <v>1080</v>
      </c>
      <c r="R1023" s="1">
        <v>800</v>
      </c>
      <c r="S1023" s="1">
        <f t="shared" si="352"/>
        <v>800</v>
      </c>
      <c r="T1023" s="1">
        <v>1</v>
      </c>
      <c r="U1023" s="1" t="str">
        <f t="shared" si="353"/>
        <v>SIM</v>
      </c>
      <c r="V1023" s="1">
        <f t="shared" si="354"/>
        <v>853</v>
      </c>
      <c r="W1023" s="4">
        <f t="shared" si="355"/>
        <v>0.93786635404454866</v>
      </c>
      <c r="X1023" s="4">
        <f t="shared" si="356"/>
        <v>342.32121922626027</v>
      </c>
      <c r="Y1023" s="4">
        <f t="shared" si="357"/>
        <v>0.42790152403282533</v>
      </c>
      <c r="AB1023" s="5">
        <f t="shared" si="358"/>
        <v>45292</v>
      </c>
      <c r="AC1023" s="5">
        <f t="shared" si="359"/>
        <v>45657</v>
      </c>
      <c r="AD1023" s="1">
        <v>29</v>
      </c>
      <c r="AE1023" s="1">
        <f t="shared" si="360"/>
        <v>366</v>
      </c>
      <c r="AF1023" s="1">
        <f t="shared" si="361"/>
        <v>0</v>
      </c>
      <c r="AG1023" s="1">
        <f t="shared" si="362"/>
        <v>0</v>
      </c>
      <c r="AH1023" s="1">
        <f t="shared" si="363"/>
        <v>0</v>
      </c>
      <c r="AI1023" s="1">
        <f t="shared" si="364"/>
        <v>0</v>
      </c>
      <c r="AJ1023" s="3">
        <f t="shared" si="365"/>
        <v>1</v>
      </c>
      <c r="AK1023" s="3">
        <f t="shared" si="366"/>
        <v>0.42790152403282533</v>
      </c>
      <c r="AL1023" s="3">
        <f t="shared" si="367"/>
        <v>12.409144196951935</v>
      </c>
      <c r="AM1023" s="3">
        <f t="shared" si="368"/>
        <v>12.409144196951935</v>
      </c>
      <c r="AN1023" s="3">
        <f t="shared" si="369"/>
        <v>0</v>
      </c>
      <c r="AO1023" s="3">
        <f t="shared" si="370"/>
        <v>12.409144196951935</v>
      </c>
      <c r="AP1023" s="1" t="str">
        <f>INDEX({"EAD";"EAD";"EAD";"EAD MOOC";"EAD";"EAD";"EAD FP";"EAD";"PRESENCIAL";"PRESENCIAL";"PRESENCIAL";"PRESENCIAL"}, MATCH(CONCATENATE(E1023, ".", F1023),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24" spans="1:42" x14ac:dyDescent="0.25">
      <c r="A1024" s="1" t="s">
        <v>27</v>
      </c>
      <c r="B1024" s="1" t="s">
        <v>54</v>
      </c>
      <c r="C1024" s="1" t="s">
        <v>29</v>
      </c>
      <c r="D1024" s="1" t="s">
        <v>55</v>
      </c>
      <c r="E1024" s="1" t="s">
        <v>120</v>
      </c>
      <c r="F1024" s="1" t="s">
        <v>21</v>
      </c>
      <c r="G1024" s="1" t="s">
        <v>128</v>
      </c>
      <c r="H1024" s="1" t="s">
        <v>890</v>
      </c>
      <c r="I1024" s="1" t="s">
        <v>191</v>
      </c>
      <c r="J1024" s="1" t="s">
        <v>125</v>
      </c>
      <c r="K1024" s="1" t="s">
        <v>259</v>
      </c>
      <c r="L1024" s="1">
        <v>3041277</v>
      </c>
      <c r="M1024" s="1" t="s">
        <v>1194</v>
      </c>
      <c r="N1024" s="5">
        <f>DATE(2023,9,1)</f>
        <v>45170</v>
      </c>
      <c r="O1024" s="5">
        <f>DATE(2025,12,31)</f>
        <v>46022</v>
      </c>
      <c r="P1024" s="5">
        <f t="shared" si="351"/>
        <v>47117</v>
      </c>
      <c r="Q1024" s="1">
        <v>1200</v>
      </c>
      <c r="R1024" s="1">
        <v>1200</v>
      </c>
      <c r="S1024" s="1">
        <f t="shared" si="352"/>
        <v>1200</v>
      </c>
      <c r="T1024" s="1">
        <v>2.5</v>
      </c>
      <c r="U1024" s="1" t="str">
        <f t="shared" si="353"/>
        <v>SIM</v>
      </c>
      <c r="V1024" s="1">
        <f t="shared" si="354"/>
        <v>853</v>
      </c>
      <c r="W1024" s="4">
        <f t="shared" si="355"/>
        <v>1.4067995310668229</v>
      </c>
      <c r="X1024" s="4">
        <f t="shared" si="356"/>
        <v>513.48182883939035</v>
      </c>
      <c r="Y1024" s="4">
        <f t="shared" si="357"/>
        <v>0.64185228604923794</v>
      </c>
      <c r="AB1024" s="5">
        <f t="shared" si="358"/>
        <v>45292</v>
      </c>
      <c r="AC1024" s="5">
        <f t="shared" si="359"/>
        <v>45657</v>
      </c>
      <c r="AD1024" s="1">
        <v>22</v>
      </c>
      <c r="AE1024" s="1">
        <f t="shared" si="360"/>
        <v>366</v>
      </c>
      <c r="AF1024" s="1">
        <f t="shared" si="361"/>
        <v>0</v>
      </c>
      <c r="AG1024" s="1">
        <f t="shared" si="362"/>
        <v>0</v>
      </c>
      <c r="AH1024" s="1">
        <f t="shared" si="363"/>
        <v>0</v>
      </c>
      <c r="AI1024" s="1">
        <f t="shared" si="364"/>
        <v>0</v>
      </c>
      <c r="AJ1024" s="3">
        <f t="shared" si="365"/>
        <v>1</v>
      </c>
      <c r="AK1024" s="3">
        <f t="shared" si="366"/>
        <v>0.64185228604923794</v>
      </c>
      <c r="AL1024" s="3">
        <f t="shared" si="367"/>
        <v>14.120750293083235</v>
      </c>
      <c r="AM1024" s="3">
        <f t="shared" si="368"/>
        <v>35.301875732708091</v>
      </c>
      <c r="AN1024" s="3">
        <f t="shared" si="369"/>
        <v>0</v>
      </c>
      <c r="AO1024" s="3">
        <f t="shared" si="370"/>
        <v>35.301875732708091</v>
      </c>
      <c r="AP1024" s="1" t="str">
        <f>INDEX({"EAD";"EAD";"EAD";"EAD MOOC";"EAD";"EAD";"EAD FP";"EAD";"PRESENCIAL";"PRESENCIAL";"PRESENCIAL";"PRESENCIAL"}, MATCH(CONCATENATE(E1024, ".", F1024),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25" spans="1:42" x14ac:dyDescent="0.25">
      <c r="A1025" s="1" t="s">
        <v>27</v>
      </c>
      <c r="B1025" s="1" t="s">
        <v>54</v>
      </c>
      <c r="C1025" s="1" t="s">
        <v>29</v>
      </c>
      <c r="D1025" s="1" t="s">
        <v>55</v>
      </c>
      <c r="E1025" s="1" t="s">
        <v>120</v>
      </c>
      <c r="F1025" s="1" t="s">
        <v>21</v>
      </c>
      <c r="G1025" s="1" t="s">
        <v>128</v>
      </c>
      <c r="H1025" s="1" t="s">
        <v>1169</v>
      </c>
      <c r="I1025" s="1" t="s">
        <v>124</v>
      </c>
      <c r="J1025" s="1" t="s">
        <v>125</v>
      </c>
      <c r="K1025" s="1" t="s">
        <v>130</v>
      </c>
      <c r="L1025" s="1">
        <v>3071544</v>
      </c>
      <c r="M1025" s="1" t="s">
        <v>1195</v>
      </c>
      <c r="N1025" s="5">
        <f t="shared" ref="N1025:N1036" si="374">DATE(2024,2,1)</f>
        <v>45323</v>
      </c>
      <c r="O1025" s="5">
        <f>DATE(2026,12,23)</f>
        <v>46379</v>
      </c>
      <c r="P1025" s="5">
        <f t="shared" si="351"/>
        <v>47474</v>
      </c>
      <c r="Q1025" s="1">
        <v>3162</v>
      </c>
      <c r="R1025" s="1">
        <v>800</v>
      </c>
      <c r="S1025" s="1">
        <f t="shared" si="352"/>
        <v>3000</v>
      </c>
      <c r="T1025" s="1">
        <v>1.5</v>
      </c>
      <c r="U1025" s="1" t="str">
        <f t="shared" si="353"/>
        <v>SIM</v>
      </c>
      <c r="V1025" s="1">
        <f t="shared" si="354"/>
        <v>1057</v>
      </c>
      <c r="W1025" s="4">
        <f t="shared" si="355"/>
        <v>2.838221381267739</v>
      </c>
      <c r="X1025" s="4">
        <f t="shared" si="356"/>
        <v>1035.9508041627248</v>
      </c>
      <c r="Y1025" s="4">
        <f t="shared" si="357"/>
        <v>1.2949385052034059</v>
      </c>
      <c r="AB1025" s="5">
        <f t="shared" si="358"/>
        <v>45292</v>
      </c>
      <c r="AC1025" s="5">
        <f t="shared" si="359"/>
        <v>45657</v>
      </c>
      <c r="AD1025" s="1">
        <v>72</v>
      </c>
      <c r="AE1025" s="1">
        <f t="shared" si="360"/>
        <v>0</v>
      </c>
      <c r="AF1025" s="1">
        <f t="shared" si="361"/>
        <v>335</v>
      </c>
      <c r="AG1025" s="1">
        <f t="shared" si="362"/>
        <v>0</v>
      </c>
      <c r="AH1025" s="1">
        <f t="shared" si="363"/>
        <v>0</v>
      </c>
      <c r="AI1025" s="1">
        <f t="shared" si="364"/>
        <v>0</v>
      </c>
      <c r="AJ1025" s="3">
        <f t="shared" si="365"/>
        <v>0.91530054644808745</v>
      </c>
      <c r="AK1025" s="3">
        <f t="shared" si="366"/>
        <v>1.185257921429347</v>
      </c>
      <c r="AL1025" s="3">
        <f t="shared" si="367"/>
        <v>85.338570342912988</v>
      </c>
      <c r="AM1025" s="3">
        <f t="shared" si="368"/>
        <v>128.00785551436948</v>
      </c>
      <c r="AN1025" s="3">
        <f t="shared" si="369"/>
        <v>0</v>
      </c>
      <c r="AO1025" s="3">
        <f t="shared" si="370"/>
        <v>128.00785551436948</v>
      </c>
      <c r="AP1025" s="1" t="str">
        <f>INDEX({"EAD";"EAD";"EAD";"EAD MOOC";"EAD";"EAD";"EAD FP";"EAD";"PRESENCIAL";"PRESENCIAL";"PRESENCIAL";"PRESENCIAL"}, MATCH(CONCATENATE(E1025, ".", F1025),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26" spans="1:42" x14ac:dyDescent="0.25">
      <c r="A1026" s="1" t="s">
        <v>27</v>
      </c>
      <c r="B1026" s="1" t="s">
        <v>54</v>
      </c>
      <c r="C1026" s="1" t="s">
        <v>29</v>
      </c>
      <c r="D1026" s="1" t="s">
        <v>55</v>
      </c>
      <c r="E1026" s="1" t="s">
        <v>120</v>
      </c>
      <c r="F1026" s="1" t="s">
        <v>21</v>
      </c>
      <c r="G1026" s="1" t="s">
        <v>128</v>
      </c>
      <c r="H1026" s="1" t="s">
        <v>1166</v>
      </c>
      <c r="I1026" s="1" t="s">
        <v>503</v>
      </c>
      <c r="J1026" s="1" t="s">
        <v>125</v>
      </c>
      <c r="K1026" s="1" t="s">
        <v>130</v>
      </c>
      <c r="L1026" s="1">
        <v>3071932</v>
      </c>
      <c r="M1026" s="1" t="s">
        <v>1196</v>
      </c>
      <c r="N1026" s="5">
        <f t="shared" si="374"/>
        <v>45323</v>
      </c>
      <c r="O1026" s="5">
        <f>DATE(2026,12,23)</f>
        <v>46379</v>
      </c>
      <c r="P1026" s="5">
        <f t="shared" si="351"/>
        <v>47474</v>
      </c>
      <c r="Q1026" s="1">
        <v>3060</v>
      </c>
      <c r="R1026" s="1">
        <v>1200</v>
      </c>
      <c r="S1026" s="1">
        <f t="shared" si="352"/>
        <v>3200</v>
      </c>
      <c r="T1026" s="1">
        <v>2.5</v>
      </c>
      <c r="U1026" s="1" t="str">
        <f t="shared" si="353"/>
        <v>SIM</v>
      </c>
      <c r="V1026" s="1">
        <f t="shared" si="354"/>
        <v>1057</v>
      </c>
      <c r="W1026" s="4">
        <f t="shared" si="355"/>
        <v>2.8949858088930935</v>
      </c>
      <c r="X1026" s="4">
        <f t="shared" si="356"/>
        <v>1056.6698202459791</v>
      </c>
      <c r="Y1026" s="4">
        <f t="shared" si="357"/>
        <v>1.3208372753074737</v>
      </c>
      <c r="AB1026" s="5">
        <f t="shared" si="358"/>
        <v>45292</v>
      </c>
      <c r="AC1026" s="5">
        <f t="shared" si="359"/>
        <v>45657</v>
      </c>
      <c r="AD1026" s="1">
        <v>72</v>
      </c>
      <c r="AE1026" s="1">
        <f t="shared" si="360"/>
        <v>0</v>
      </c>
      <c r="AF1026" s="1">
        <f t="shared" si="361"/>
        <v>335</v>
      </c>
      <c r="AG1026" s="1">
        <f t="shared" si="362"/>
        <v>0</v>
      </c>
      <c r="AH1026" s="1">
        <f t="shared" si="363"/>
        <v>0</v>
      </c>
      <c r="AI1026" s="1">
        <f t="shared" si="364"/>
        <v>0</v>
      </c>
      <c r="AJ1026" s="3">
        <f t="shared" si="365"/>
        <v>0.91530054644808745</v>
      </c>
      <c r="AK1026" s="3">
        <f t="shared" si="366"/>
        <v>1.2089630798579336</v>
      </c>
      <c r="AL1026" s="3">
        <f t="shared" si="367"/>
        <v>87.045341749771225</v>
      </c>
      <c r="AM1026" s="3">
        <f t="shared" si="368"/>
        <v>217.61335437442807</v>
      </c>
      <c r="AN1026" s="3">
        <f t="shared" si="369"/>
        <v>0</v>
      </c>
      <c r="AO1026" s="3">
        <f t="shared" si="370"/>
        <v>217.61335437442807</v>
      </c>
      <c r="AP1026" s="1" t="str">
        <f>INDEX({"EAD";"EAD";"EAD";"EAD MOOC";"EAD";"EAD";"EAD FP";"EAD";"PRESENCIAL";"PRESENCIAL";"PRESENCIAL";"PRESENCIAL"}, MATCH(CONCATENATE(E1026, ".", F1026),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27" spans="1:42" x14ac:dyDescent="0.25">
      <c r="A1027" s="1" t="s">
        <v>27</v>
      </c>
      <c r="B1027" s="1" t="s">
        <v>54</v>
      </c>
      <c r="C1027" s="1" t="s">
        <v>29</v>
      </c>
      <c r="D1027" s="1" t="s">
        <v>55</v>
      </c>
      <c r="E1027" s="1" t="s">
        <v>120</v>
      </c>
      <c r="F1027" s="1" t="s">
        <v>21</v>
      </c>
      <c r="G1027" s="1" t="s">
        <v>128</v>
      </c>
      <c r="H1027" s="1" t="s">
        <v>526</v>
      </c>
      <c r="I1027" s="1" t="s">
        <v>503</v>
      </c>
      <c r="J1027" s="1" t="s">
        <v>125</v>
      </c>
      <c r="K1027" s="1" t="s">
        <v>130</v>
      </c>
      <c r="L1027" s="1">
        <v>3072039</v>
      </c>
      <c r="M1027" s="1" t="s">
        <v>1197</v>
      </c>
      <c r="N1027" s="5">
        <f t="shared" si="374"/>
        <v>45323</v>
      </c>
      <c r="O1027" s="5">
        <f>DATE(2026,12,23)</f>
        <v>46379</v>
      </c>
      <c r="P1027" s="5">
        <f t="shared" si="351"/>
        <v>47474</v>
      </c>
      <c r="Q1027" s="1">
        <v>3060</v>
      </c>
      <c r="R1027" s="1">
        <v>1200</v>
      </c>
      <c r="S1027" s="1">
        <f t="shared" si="352"/>
        <v>3200</v>
      </c>
      <c r="T1027" s="1">
        <v>2.5</v>
      </c>
      <c r="U1027" s="1" t="str">
        <f t="shared" si="353"/>
        <v>SIM</v>
      </c>
      <c r="V1027" s="1">
        <f t="shared" si="354"/>
        <v>1057</v>
      </c>
      <c r="W1027" s="4">
        <f t="shared" si="355"/>
        <v>2.8949858088930935</v>
      </c>
      <c r="X1027" s="4">
        <f t="shared" si="356"/>
        <v>1056.6698202459791</v>
      </c>
      <c r="Y1027" s="4">
        <f t="shared" si="357"/>
        <v>1.3208372753074737</v>
      </c>
      <c r="AB1027" s="5">
        <f t="shared" si="358"/>
        <v>45292</v>
      </c>
      <c r="AC1027" s="5">
        <f t="shared" si="359"/>
        <v>45657</v>
      </c>
      <c r="AD1027" s="1">
        <v>73</v>
      </c>
      <c r="AE1027" s="1">
        <f t="shared" si="360"/>
        <v>0</v>
      </c>
      <c r="AF1027" s="1">
        <f t="shared" si="361"/>
        <v>335</v>
      </c>
      <c r="AG1027" s="1">
        <f t="shared" si="362"/>
        <v>0</v>
      </c>
      <c r="AH1027" s="1">
        <f t="shared" si="363"/>
        <v>0</v>
      </c>
      <c r="AI1027" s="1">
        <f t="shared" si="364"/>
        <v>0</v>
      </c>
      <c r="AJ1027" s="3">
        <f t="shared" si="365"/>
        <v>0.91530054644808745</v>
      </c>
      <c r="AK1027" s="3">
        <f t="shared" si="366"/>
        <v>1.2089630798579336</v>
      </c>
      <c r="AL1027" s="3">
        <f t="shared" si="367"/>
        <v>88.254304829629149</v>
      </c>
      <c r="AM1027" s="3">
        <f t="shared" si="368"/>
        <v>220.63576207407289</v>
      </c>
      <c r="AN1027" s="3">
        <f t="shared" si="369"/>
        <v>0</v>
      </c>
      <c r="AO1027" s="3">
        <f t="shared" si="370"/>
        <v>220.63576207407289</v>
      </c>
      <c r="AP1027" s="1" t="str">
        <f>INDEX({"EAD";"EAD";"EAD";"EAD MOOC";"EAD";"EAD";"EAD FP";"EAD";"PRESENCIAL";"PRESENCIAL";"PRESENCIAL";"PRESENCIAL"}, MATCH(CONCATENATE(E1027, ".", F1027),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28" spans="1:42" x14ac:dyDescent="0.25">
      <c r="A1028" s="1" t="s">
        <v>27</v>
      </c>
      <c r="B1028" s="1" t="s">
        <v>54</v>
      </c>
      <c r="C1028" s="1" t="s">
        <v>29</v>
      </c>
      <c r="D1028" s="1" t="s">
        <v>55</v>
      </c>
      <c r="E1028" s="1" t="s">
        <v>120</v>
      </c>
      <c r="F1028" s="1" t="s">
        <v>21</v>
      </c>
      <c r="G1028" s="1" t="s">
        <v>128</v>
      </c>
      <c r="H1028" s="1" t="s">
        <v>1162</v>
      </c>
      <c r="I1028" s="1" t="s">
        <v>209</v>
      </c>
      <c r="J1028" s="1" t="s">
        <v>125</v>
      </c>
      <c r="K1028" s="1" t="s">
        <v>130</v>
      </c>
      <c r="L1028" s="1">
        <v>3072047</v>
      </c>
      <c r="M1028" s="1" t="s">
        <v>1198</v>
      </c>
      <c r="N1028" s="5">
        <f t="shared" si="374"/>
        <v>45323</v>
      </c>
      <c r="O1028" s="5">
        <f>DATE(2026,12,23)</f>
        <v>46379</v>
      </c>
      <c r="P1028" s="5">
        <f t="shared" ref="P1028:P1091" si="375">IF(G1028="QUALIFICACAO PROFISSIONAL (FIC)",O1028,O1028+1095)</f>
        <v>47474</v>
      </c>
      <c r="Q1028" s="1">
        <v>3060</v>
      </c>
      <c r="R1028" s="1">
        <v>1200</v>
      </c>
      <c r="S1028" s="1">
        <f t="shared" ref="S1028:S1091" si="376">IF(OR(G1028="QUALIFICACAO PROFISSIONAL (FIC)",G1028="DOUTORADO"),Q1028,    IF(ISNUMBER(FIND("PROEJA",K1028)),2400,        IF(K1028="INTEGRADO",            IF(R1028=800,3000,                IF(R1028=1000,3100,                    IF(R1028=1200,3200,R1028)                )            ),            R1028        )    ))</f>
        <v>3200</v>
      </c>
      <c r="T1028" s="1">
        <v>1.5</v>
      </c>
      <c r="U1028" s="1" t="str">
        <f t="shared" ref="U1028:U1091" si="377">IF(P1028&lt;AB1028,"NÃO","SIM")</f>
        <v>SIM</v>
      </c>
      <c r="V1028" s="1">
        <f t="shared" ref="V1028:V1091" si="378">O1028-N1028+1</f>
        <v>1057</v>
      </c>
      <c r="W1028" s="4">
        <f t="shared" ref="W1028:W1091" si="379">IF(S1028&gt;Q1028,Q1028,S1028)/V1028</f>
        <v>2.8949858088930935</v>
      </c>
      <c r="X1028" s="4">
        <f t="shared" ref="X1028:X1091" si="380">IF(V1028&gt;365,W1028*365,S1028)</f>
        <v>1056.6698202459791</v>
      </c>
      <c r="Y1028" s="4">
        <f t="shared" ref="Y1028:Y1091" si="381">IF(V1028&gt;365,X1028/800,S1028/800)</f>
        <v>1.3208372753074737</v>
      </c>
      <c r="AB1028" s="5">
        <f t="shared" ref="AB1028:AB1091" si="382">DATE(2024,1,1)</f>
        <v>45292</v>
      </c>
      <c r="AC1028" s="5">
        <f t="shared" ref="AC1028:AC1091" si="383">DATE(2024,12,31)</f>
        <v>45657</v>
      </c>
      <c r="AD1028" s="1">
        <v>35</v>
      </c>
      <c r="AE1028" s="1">
        <f t="shared" ref="AE1028:AE1091" si="384">IF(AND(N1028&lt;AB1028,O1028&gt;AC1028),AC1028-AB1028+1,0)</f>
        <v>0</v>
      </c>
      <c r="AF1028" s="1">
        <f t="shared" ref="AF1028:AF1091" si="385">IF(AND(N1028&gt;=AB1028,O1028&gt;AC1028,N1028&lt;AC1028),AC1028-N1028+1,0)</f>
        <v>335</v>
      </c>
      <c r="AG1028" s="1">
        <f t="shared" ref="AG1028:AG1091" si="386">IF(AND(N1028&lt;AB1028,O1028&lt;=AC1028,O1028&gt;=AB1028),O1028-AB1028+1,0)</f>
        <v>0</v>
      </c>
      <c r="AH1028" s="1">
        <f t="shared" ref="AH1028:AH1091" si="387">IF(AND(N1028&gt;=AB1028,O1028&lt;=AC1028),O1028-N1028+1,0)</f>
        <v>0</v>
      </c>
      <c r="AI1028" s="1">
        <f t="shared" ref="AI1028:AI1091" si="388">IF(AND(N1028&lt;AB1028,O1028&lt;AB1028),(AC1028-AB1028+1)/2,0)</f>
        <v>0</v>
      </c>
      <c r="AJ1028" s="3">
        <f t="shared" ref="AJ1028:AJ1091" si="389">SUM(AE1028:AI1028)/IF(V1028&gt;=365,AC1028-AB1028+1,V1028)</f>
        <v>0.91530054644808745</v>
      </c>
      <c r="AK1028" s="3">
        <f t="shared" ref="AK1028:AK1091" si="390">Y1028*AJ1028</f>
        <v>1.2089630798579336</v>
      </c>
      <c r="AL1028" s="3">
        <f t="shared" ref="AL1028:AL1091" si="391">IF(AI1028=0,AK1028*AD1028,IF(U1028="SIM",AK1028*(AD1028/2),0))</f>
        <v>42.313707795027675</v>
      </c>
      <c r="AM1028" s="3">
        <f t="shared" ref="AM1028:AM1091" si="392">AL1028*T1028</f>
        <v>63.470561692541509</v>
      </c>
      <c r="AN1028" s="3">
        <f t="shared" ref="AN1028:AN1091" si="393">IF(J1028="SIM",AM1028*50%,0)</f>
        <v>0</v>
      </c>
      <c r="AO1028" s="3">
        <f t="shared" ref="AO1028:AO1091" si="394">IF(U1028="SIM",AM1028+AN1028,0)</f>
        <v>63.470561692541509</v>
      </c>
      <c r="AP1028" s="1" t="str">
        <f>INDEX({"EAD";"EAD";"EAD";"EAD MOOC";"EAD";"EAD";"EAD FP";"EAD";"PRESENCIAL";"PRESENCIAL";"PRESENCIAL";"PRESENCIAL"}, MATCH(CONCATENATE(E1028, ".", F1028),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29" spans="1:42" x14ac:dyDescent="0.25">
      <c r="A1029" s="1" t="s">
        <v>27</v>
      </c>
      <c r="B1029" s="1" t="s">
        <v>54</v>
      </c>
      <c r="C1029" s="1" t="s">
        <v>29</v>
      </c>
      <c r="D1029" s="1" t="s">
        <v>55</v>
      </c>
      <c r="E1029" s="1" t="s">
        <v>120</v>
      </c>
      <c r="F1029" s="1" t="s">
        <v>21</v>
      </c>
      <c r="G1029" s="1" t="s">
        <v>128</v>
      </c>
      <c r="H1029" s="1" t="s">
        <v>1171</v>
      </c>
      <c r="I1029" s="1" t="s">
        <v>503</v>
      </c>
      <c r="J1029" s="1" t="s">
        <v>125</v>
      </c>
      <c r="K1029" s="1" t="s">
        <v>163</v>
      </c>
      <c r="L1029" s="1">
        <v>3072063</v>
      </c>
      <c r="M1029" s="1" t="s">
        <v>1199</v>
      </c>
      <c r="N1029" s="5">
        <f t="shared" si="374"/>
        <v>45323</v>
      </c>
      <c r="O1029" s="5">
        <f>DATE(2025,12,23)</f>
        <v>46014</v>
      </c>
      <c r="P1029" s="5">
        <f t="shared" si="375"/>
        <v>47109</v>
      </c>
      <c r="Q1029" s="1">
        <v>1309</v>
      </c>
      <c r="R1029" s="1">
        <v>1200</v>
      </c>
      <c r="S1029" s="1">
        <f t="shared" si="376"/>
        <v>1200</v>
      </c>
      <c r="T1029" s="1">
        <v>2.5</v>
      </c>
      <c r="U1029" s="1" t="str">
        <f t="shared" si="377"/>
        <v>SIM</v>
      </c>
      <c r="V1029" s="1">
        <f t="shared" si="378"/>
        <v>692</v>
      </c>
      <c r="W1029" s="4">
        <f t="shared" si="379"/>
        <v>1.7341040462427746</v>
      </c>
      <c r="X1029" s="4">
        <f t="shared" si="380"/>
        <v>632.94797687861274</v>
      </c>
      <c r="Y1029" s="4">
        <f t="shared" si="381"/>
        <v>0.79118497109826591</v>
      </c>
      <c r="AB1029" s="5">
        <f t="shared" si="382"/>
        <v>45292</v>
      </c>
      <c r="AC1029" s="5">
        <f t="shared" si="383"/>
        <v>45657</v>
      </c>
      <c r="AD1029" s="1">
        <v>25</v>
      </c>
      <c r="AE1029" s="1">
        <f t="shared" si="384"/>
        <v>0</v>
      </c>
      <c r="AF1029" s="1">
        <f t="shared" si="385"/>
        <v>335</v>
      </c>
      <c r="AG1029" s="1">
        <f t="shared" si="386"/>
        <v>0</v>
      </c>
      <c r="AH1029" s="1">
        <f t="shared" si="387"/>
        <v>0</v>
      </c>
      <c r="AI1029" s="1">
        <f t="shared" si="388"/>
        <v>0</v>
      </c>
      <c r="AJ1029" s="3">
        <f t="shared" si="389"/>
        <v>0.91530054644808745</v>
      </c>
      <c r="AK1029" s="3">
        <f t="shared" si="390"/>
        <v>0.72417203638775707</v>
      </c>
      <c r="AL1029" s="3">
        <f t="shared" si="391"/>
        <v>18.104300909693926</v>
      </c>
      <c r="AM1029" s="3">
        <f t="shared" si="392"/>
        <v>45.260752274234818</v>
      </c>
      <c r="AN1029" s="3">
        <f t="shared" si="393"/>
        <v>0</v>
      </c>
      <c r="AO1029" s="3">
        <f t="shared" si="394"/>
        <v>45.260752274234818</v>
      </c>
      <c r="AP1029" s="1" t="str">
        <f>INDEX({"EAD";"EAD";"EAD";"EAD MOOC";"EAD";"EAD";"EAD FP";"EAD";"PRESENCIAL";"PRESENCIAL";"PRESENCIAL";"PRESENCIAL"}, MATCH(CONCATENATE(E1029, ".", F1029),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30" spans="1:42" x14ac:dyDescent="0.25">
      <c r="A1030" s="1" t="s">
        <v>27</v>
      </c>
      <c r="B1030" s="1" t="s">
        <v>54</v>
      </c>
      <c r="C1030" s="1" t="s">
        <v>29</v>
      </c>
      <c r="D1030" s="1" t="s">
        <v>55</v>
      </c>
      <c r="E1030" s="1" t="s">
        <v>120</v>
      </c>
      <c r="F1030" s="1" t="s">
        <v>21</v>
      </c>
      <c r="G1030" s="1" t="s">
        <v>128</v>
      </c>
      <c r="H1030" s="1" t="s">
        <v>526</v>
      </c>
      <c r="I1030" s="1" t="s">
        <v>503</v>
      </c>
      <c r="J1030" s="1" t="s">
        <v>125</v>
      </c>
      <c r="K1030" s="1" t="s">
        <v>163</v>
      </c>
      <c r="L1030" s="1">
        <v>3072068</v>
      </c>
      <c r="M1030" s="1" t="s">
        <v>1200</v>
      </c>
      <c r="N1030" s="5">
        <f t="shared" si="374"/>
        <v>45323</v>
      </c>
      <c r="O1030" s="5">
        <f>DATE(2025,12,23)</f>
        <v>46014</v>
      </c>
      <c r="P1030" s="5">
        <f t="shared" si="375"/>
        <v>47109</v>
      </c>
      <c r="Q1030" s="1">
        <v>1224</v>
      </c>
      <c r="R1030" s="1">
        <v>1200</v>
      </c>
      <c r="S1030" s="1">
        <f t="shared" si="376"/>
        <v>1200</v>
      </c>
      <c r="T1030" s="1">
        <v>2.5</v>
      </c>
      <c r="U1030" s="1" t="str">
        <f t="shared" si="377"/>
        <v>SIM</v>
      </c>
      <c r="V1030" s="1">
        <f t="shared" si="378"/>
        <v>692</v>
      </c>
      <c r="W1030" s="4">
        <f t="shared" si="379"/>
        <v>1.7341040462427746</v>
      </c>
      <c r="X1030" s="4">
        <f t="shared" si="380"/>
        <v>632.94797687861274</v>
      </c>
      <c r="Y1030" s="4">
        <f t="shared" si="381"/>
        <v>0.79118497109826591</v>
      </c>
      <c r="AB1030" s="5">
        <f t="shared" si="382"/>
        <v>45292</v>
      </c>
      <c r="AC1030" s="5">
        <f t="shared" si="383"/>
        <v>45657</v>
      </c>
      <c r="AD1030" s="1">
        <v>31</v>
      </c>
      <c r="AE1030" s="1">
        <f t="shared" si="384"/>
        <v>0</v>
      </c>
      <c r="AF1030" s="1">
        <f t="shared" si="385"/>
        <v>335</v>
      </c>
      <c r="AG1030" s="1">
        <f t="shared" si="386"/>
        <v>0</v>
      </c>
      <c r="AH1030" s="1">
        <f t="shared" si="387"/>
        <v>0</v>
      </c>
      <c r="AI1030" s="1">
        <f t="shared" si="388"/>
        <v>0</v>
      </c>
      <c r="AJ1030" s="3">
        <f t="shared" si="389"/>
        <v>0.91530054644808745</v>
      </c>
      <c r="AK1030" s="3">
        <f t="shared" si="390"/>
        <v>0.72417203638775707</v>
      </c>
      <c r="AL1030" s="3">
        <f t="shared" si="391"/>
        <v>22.44933312802047</v>
      </c>
      <c r="AM1030" s="3">
        <f t="shared" si="392"/>
        <v>56.123332820051175</v>
      </c>
      <c r="AN1030" s="3">
        <f t="shared" si="393"/>
        <v>0</v>
      </c>
      <c r="AO1030" s="3">
        <f t="shared" si="394"/>
        <v>56.123332820051175</v>
      </c>
      <c r="AP1030" s="1" t="str">
        <f>INDEX({"EAD";"EAD";"EAD";"EAD MOOC";"EAD";"EAD";"EAD FP";"EAD";"PRESENCIAL";"PRESENCIAL";"PRESENCIAL";"PRESENCIAL"}, MATCH(CONCATENATE(E1030, ".", F1030),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31" spans="1:42" x14ac:dyDescent="0.25">
      <c r="A1031" s="1" t="s">
        <v>27</v>
      </c>
      <c r="B1031" s="1" t="s">
        <v>54</v>
      </c>
      <c r="C1031" s="1" t="s">
        <v>29</v>
      </c>
      <c r="D1031" s="1" t="s">
        <v>55</v>
      </c>
      <c r="E1031" s="1" t="s">
        <v>120</v>
      </c>
      <c r="F1031" s="1" t="s">
        <v>21</v>
      </c>
      <c r="G1031" s="1" t="s">
        <v>121</v>
      </c>
      <c r="H1031" s="1" t="s">
        <v>508</v>
      </c>
      <c r="I1031" s="1" t="s">
        <v>503</v>
      </c>
      <c r="J1031" s="1" t="s">
        <v>125</v>
      </c>
      <c r="K1031" s="1" t="s">
        <v>109</v>
      </c>
      <c r="L1031" s="1">
        <v>3077228</v>
      </c>
      <c r="M1031" s="1" t="s">
        <v>1201</v>
      </c>
      <c r="N1031" s="5">
        <f t="shared" si="374"/>
        <v>45323</v>
      </c>
      <c r="O1031" s="5">
        <f>DATE(2028,12,23)</f>
        <v>47110</v>
      </c>
      <c r="P1031" s="5">
        <f t="shared" si="375"/>
        <v>48205</v>
      </c>
      <c r="Q1031" s="1">
        <v>3600</v>
      </c>
      <c r="R1031" s="1">
        <v>3600</v>
      </c>
      <c r="S1031" s="1">
        <f t="shared" si="376"/>
        <v>3600</v>
      </c>
      <c r="T1031" s="1">
        <v>2.5</v>
      </c>
      <c r="U1031" s="1" t="str">
        <f t="shared" si="377"/>
        <v>SIM</v>
      </c>
      <c r="V1031" s="1">
        <f t="shared" si="378"/>
        <v>1788</v>
      </c>
      <c r="W1031" s="4">
        <f t="shared" si="379"/>
        <v>2.0134228187919465</v>
      </c>
      <c r="X1031" s="4">
        <f t="shared" si="380"/>
        <v>734.89932885906046</v>
      </c>
      <c r="Y1031" s="4">
        <f t="shared" si="381"/>
        <v>0.91862416107382561</v>
      </c>
      <c r="AB1031" s="5">
        <f t="shared" si="382"/>
        <v>45292</v>
      </c>
      <c r="AC1031" s="5">
        <f t="shared" si="383"/>
        <v>45657</v>
      </c>
      <c r="AD1031" s="1">
        <v>24</v>
      </c>
      <c r="AE1031" s="1">
        <f t="shared" si="384"/>
        <v>0</v>
      </c>
      <c r="AF1031" s="1">
        <f t="shared" si="385"/>
        <v>335</v>
      </c>
      <c r="AG1031" s="1">
        <f t="shared" si="386"/>
        <v>0</v>
      </c>
      <c r="AH1031" s="1">
        <f t="shared" si="387"/>
        <v>0</v>
      </c>
      <c r="AI1031" s="1">
        <f t="shared" si="388"/>
        <v>0</v>
      </c>
      <c r="AJ1031" s="3">
        <f t="shared" si="389"/>
        <v>0.91530054644808745</v>
      </c>
      <c r="AK1031" s="3">
        <f t="shared" si="390"/>
        <v>0.84081719661128851</v>
      </c>
      <c r="AL1031" s="3">
        <f t="shared" si="391"/>
        <v>20.179612718670924</v>
      </c>
      <c r="AM1031" s="3">
        <f t="shared" si="392"/>
        <v>50.449031796677311</v>
      </c>
      <c r="AN1031" s="3">
        <f t="shared" si="393"/>
        <v>0</v>
      </c>
      <c r="AO1031" s="3">
        <f t="shared" si="394"/>
        <v>50.449031796677311</v>
      </c>
      <c r="AP1031" s="1" t="str">
        <f>INDEX({"EAD";"EAD";"EAD";"EAD MOOC";"EAD";"EAD";"EAD FP";"EAD";"PRESENCIAL";"PRESENCIAL";"PRESENCIAL";"PRESENCIAL"}, MATCH(CONCATENATE(E1031, ".", F1031),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32" spans="1:42" x14ac:dyDescent="0.25">
      <c r="A1032" s="1" t="s">
        <v>27</v>
      </c>
      <c r="B1032" s="1" t="s">
        <v>54</v>
      </c>
      <c r="C1032" s="1" t="s">
        <v>29</v>
      </c>
      <c r="D1032" s="1" t="s">
        <v>55</v>
      </c>
      <c r="E1032" s="1" t="s">
        <v>120</v>
      </c>
      <c r="F1032" s="1" t="s">
        <v>21</v>
      </c>
      <c r="G1032" s="1" t="s">
        <v>140</v>
      </c>
      <c r="H1032" s="1" t="s">
        <v>1146</v>
      </c>
      <c r="I1032" s="1" t="s">
        <v>209</v>
      </c>
      <c r="J1032" s="1" t="s">
        <v>125</v>
      </c>
      <c r="K1032" s="1" t="s">
        <v>109</v>
      </c>
      <c r="L1032" s="1">
        <v>3077235</v>
      </c>
      <c r="M1032" s="1" t="s">
        <v>1202</v>
      </c>
      <c r="N1032" s="5">
        <f t="shared" si="374"/>
        <v>45323</v>
      </c>
      <c r="O1032" s="5">
        <f>DATE(2026,12,23)</f>
        <v>46379</v>
      </c>
      <c r="P1032" s="5">
        <f t="shared" si="375"/>
        <v>47474</v>
      </c>
      <c r="Q1032" s="1">
        <v>2194</v>
      </c>
      <c r="R1032" s="1">
        <v>2000</v>
      </c>
      <c r="S1032" s="1">
        <f t="shared" si="376"/>
        <v>2000</v>
      </c>
      <c r="T1032" s="1">
        <v>1.5</v>
      </c>
      <c r="U1032" s="1" t="str">
        <f t="shared" si="377"/>
        <v>SIM</v>
      </c>
      <c r="V1032" s="1">
        <f t="shared" si="378"/>
        <v>1057</v>
      </c>
      <c r="W1032" s="4">
        <f t="shared" si="379"/>
        <v>1.8921475875118259</v>
      </c>
      <c r="X1032" s="4">
        <f t="shared" si="380"/>
        <v>690.6338694418165</v>
      </c>
      <c r="Y1032" s="4">
        <f t="shared" si="381"/>
        <v>0.86329233680227058</v>
      </c>
      <c r="AB1032" s="5">
        <f t="shared" si="382"/>
        <v>45292</v>
      </c>
      <c r="AC1032" s="5">
        <f t="shared" si="383"/>
        <v>45657</v>
      </c>
      <c r="AD1032" s="1">
        <v>46</v>
      </c>
      <c r="AE1032" s="1">
        <f t="shared" si="384"/>
        <v>0</v>
      </c>
      <c r="AF1032" s="1">
        <f t="shared" si="385"/>
        <v>335</v>
      </c>
      <c r="AG1032" s="1">
        <f t="shared" si="386"/>
        <v>0</v>
      </c>
      <c r="AH1032" s="1">
        <f t="shared" si="387"/>
        <v>0</v>
      </c>
      <c r="AI1032" s="1">
        <f t="shared" si="388"/>
        <v>0</v>
      </c>
      <c r="AJ1032" s="3">
        <f t="shared" si="389"/>
        <v>0.91530054644808745</v>
      </c>
      <c r="AK1032" s="3">
        <f t="shared" si="390"/>
        <v>0.79017194761956466</v>
      </c>
      <c r="AL1032" s="3">
        <f t="shared" si="391"/>
        <v>36.347909590499974</v>
      </c>
      <c r="AM1032" s="3">
        <f t="shared" si="392"/>
        <v>54.521864385749964</v>
      </c>
      <c r="AN1032" s="3">
        <f t="shared" si="393"/>
        <v>0</v>
      </c>
      <c r="AO1032" s="3">
        <f t="shared" si="394"/>
        <v>54.521864385749964</v>
      </c>
      <c r="AP1032" s="1" t="str">
        <f>INDEX({"EAD";"EAD";"EAD";"EAD MOOC";"EAD";"EAD";"EAD FP";"EAD";"PRESENCIAL";"PRESENCIAL";"PRESENCIAL";"PRESENCIAL"}, MATCH(CONCATENATE(E1032, ".", F1032),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33" spans="1:42" x14ac:dyDescent="0.25">
      <c r="A1033" s="1" t="s">
        <v>27</v>
      </c>
      <c r="B1033" s="1" t="s">
        <v>54</v>
      </c>
      <c r="C1033" s="1" t="s">
        <v>29</v>
      </c>
      <c r="D1033" s="1" t="s">
        <v>55</v>
      </c>
      <c r="E1033" s="1" t="s">
        <v>120</v>
      </c>
      <c r="F1033" s="1" t="s">
        <v>21</v>
      </c>
      <c r="G1033" s="1" t="s">
        <v>278</v>
      </c>
      <c r="H1033" s="1" t="s">
        <v>279</v>
      </c>
      <c r="I1033" s="1" t="s">
        <v>172</v>
      </c>
      <c r="J1033" s="1" t="s">
        <v>125</v>
      </c>
      <c r="K1033" s="1" t="s">
        <v>109</v>
      </c>
      <c r="L1033" s="1">
        <v>3077244</v>
      </c>
      <c r="M1033" s="1" t="s">
        <v>1203</v>
      </c>
      <c r="N1033" s="5">
        <f t="shared" si="374"/>
        <v>45323</v>
      </c>
      <c r="O1033" s="5">
        <f>DATE(2027,12,23)</f>
        <v>46744</v>
      </c>
      <c r="P1033" s="5">
        <f t="shared" si="375"/>
        <v>47839</v>
      </c>
      <c r="Q1033" s="1">
        <v>3260</v>
      </c>
      <c r="R1033" s="1">
        <v>3200</v>
      </c>
      <c r="S1033" s="1">
        <f t="shared" si="376"/>
        <v>3200</v>
      </c>
      <c r="T1033" s="1">
        <v>2.5</v>
      </c>
      <c r="U1033" s="1" t="str">
        <f t="shared" si="377"/>
        <v>SIM</v>
      </c>
      <c r="V1033" s="1">
        <f t="shared" si="378"/>
        <v>1422</v>
      </c>
      <c r="W1033" s="4">
        <f t="shared" si="379"/>
        <v>2.2503516174402249</v>
      </c>
      <c r="X1033" s="4">
        <f t="shared" si="380"/>
        <v>821.37834036568211</v>
      </c>
      <c r="Y1033" s="4">
        <f t="shared" si="381"/>
        <v>1.0267229254571026</v>
      </c>
      <c r="AB1033" s="5">
        <f t="shared" si="382"/>
        <v>45292</v>
      </c>
      <c r="AC1033" s="5">
        <f t="shared" si="383"/>
        <v>45657</v>
      </c>
      <c r="AD1033" s="1">
        <v>33</v>
      </c>
      <c r="AE1033" s="1">
        <f t="shared" si="384"/>
        <v>0</v>
      </c>
      <c r="AF1033" s="1">
        <f t="shared" si="385"/>
        <v>335</v>
      </c>
      <c r="AG1033" s="1">
        <f t="shared" si="386"/>
        <v>0</v>
      </c>
      <c r="AH1033" s="1">
        <f t="shared" si="387"/>
        <v>0</v>
      </c>
      <c r="AI1033" s="1">
        <f t="shared" si="388"/>
        <v>0</v>
      </c>
      <c r="AJ1033" s="3">
        <f t="shared" si="389"/>
        <v>0.91530054644808745</v>
      </c>
      <c r="AK1033" s="3">
        <f t="shared" si="390"/>
        <v>0.93976005472166502</v>
      </c>
      <c r="AL1033" s="3">
        <f t="shared" si="391"/>
        <v>31.012081805814944</v>
      </c>
      <c r="AM1033" s="3">
        <f t="shared" si="392"/>
        <v>77.53020451453736</v>
      </c>
      <c r="AN1033" s="3">
        <f t="shared" si="393"/>
        <v>0</v>
      </c>
      <c r="AO1033" s="3">
        <f t="shared" si="394"/>
        <v>77.53020451453736</v>
      </c>
      <c r="AP1033" s="1" t="str">
        <f>INDEX({"EAD";"EAD";"EAD";"EAD MOOC";"EAD";"EAD";"EAD FP";"EAD";"PRESENCIAL";"PRESENCIAL";"PRESENCIAL";"PRESENCIAL"}, MATCH(CONCATENATE(E1033, ".", F1033),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34" spans="1:42" x14ac:dyDescent="0.25">
      <c r="A1034" s="1" t="s">
        <v>27</v>
      </c>
      <c r="B1034" s="1" t="s">
        <v>54</v>
      </c>
      <c r="C1034" s="1" t="s">
        <v>29</v>
      </c>
      <c r="D1034" s="1" t="s">
        <v>55</v>
      </c>
      <c r="E1034" s="1" t="s">
        <v>120</v>
      </c>
      <c r="F1034" s="1" t="s">
        <v>447</v>
      </c>
      <c r="G1034" s="1" t="s">
        <v>128</v>
      </c>
      <c r="H1034" s="1" t="s">
        <v>890</v>
      </c>
      <c r="I1034" s="1" t="s">
        <v>191</v>
      </c>
      <c r="J1034" s="1" t="s">
        <v>125</v>
      </c>
      <c r="K1034" s="1" t="s">
        <v>259</v>
      </c>
      <c r="L1034" s="1">
        <v>3199893</v>
      </c>
      <c r="M1034" s="1" t="s">
        <v>1204</v>
      </c>
      <c r="N1034" s="5">
        <f t="shared" si="374"/>
        <v>45323</v>
      </c>
      <c r="O1034" s="5">
        <f>DATE(2026,12,20)</f>
        <v>46376</v>
      </c>
      <c r="P1034" s="5">
        <f t="shared" si="375"/>
        <v>47471</v>
      </c>
      <c r="Q1034" s="1">
        <v>1200</v>
      </c>
      <c r="R1034" s="1">
        <v>1200</v>
      </c>
      <c r="S1034" s="1">
        <f t="shared" si="376"/>
        <v>1200</v>
      </c>
      <c r="T1034" s="1">
        <v>2.5</v>
      </c>
      <c r="U1034" s="1" t="str">
        <f t="shared" si="377"/>
        <v>SIM</v>
      </c>
      <c r="V1034" s="1">
        <f t="shared" si="378"/>
        <v>1054</v>
      </c>
      <c r="W1034" s="4">
        <f t="shared" si="379"/>
        <v>1.1385199240986716</v>
      </c>
      <c r="X1034" s="4">
        <f t="shared" si="380"/>
        <v>415.55977229601513</v>
      </c>
      <c r="Y1034" s="4">
        <f t="shared" si="381"/>
        <v>0.51944971537001894</v>
      </c>
      <c r="AB1034" s="5">
        <f t="shared" si="382"/>
        <v>45292</v>
      </c>
      <c r="AC1034" s="5">
        <f t="shared" si="383"/>
        <v>45657</v>
      </c>
      <c r="AD1034" s="1">
        <v>15</v>
      </c>
      <c r="AE1034" s="1">
        <f t="shared" si="384"/>
        <v>0</v>
      </c>
      <c r="AF1034" s="1">
        <f t="shared" si="385"/>
        <v>335</v>
      </c>
      <c r="AG1034" s="1">
        <f t="shared" si="386"/>
        <v>0</v>
      </c>
      <c r="AH1034" s="1">
        <f t="shared" si="387"/>
        <v>0</v>
      </c>
      <c r="AI1034" s="1">
        <f t="shared" si="388"/>
        <v>0</v>
      </c>
      <c r="AJ1034" s="3">
        <f t="shared" si="389"/>
        <v>0.91530054644808745</v>
      </c>
      <c r="AK1034" s="3">
        <f t="shared" si="390"/>
        <v>0.47545260833048181</v>
      </c>
      <c r="AL1034" s="3">
        <f t="shared" si="391"/>
        <v>7.1317891249572272</v>
      </c>
      <c r="AM1034" s="3">
        <f t="shared" si="392"/>
        <v>17.829472812393067</v>
      </c>
      <c r="AN1034" s="3">
        <f t="shared" si="393"/>
        <v>0</v>
      </c>
      <c r="AO1034" s="3">
        <f t="shared" si="394"/>
        <v>17.829472812393067</v>
      </c>
      <c r="AP1034" s="1" t="str">
        <f>INDEX({"EAD";"EAD";"EAD";"EAD MOOC";"EAD";"EAD";"EAD FP";"EAD";"PRESENCIAL";"PRESENCIAL";"PRESENCIAL";"PRESENCIAL"}, MATCH(CONCATENATE(E1034, ".", F1034),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35" spans="1:42" x14ac:dyDescent="0.25">
      <c r="A1035" s="1" t="s">
        <v>27</v>
      </c>
      <c r="B1035" s="1" t="s">
        <v>54</v>
      </c>
      <c r="C1035" s="1" t="s">
        <v>29</v>
      </c>
      <c r="D1035" s="1" t="s">
        <v>55</v>
      </c>
      <c r="E1035" s="1" t="s">
        <v>120</v>
      </c>
      <c r="F1035" s="1" t="s">
        <v>447</v>
      </c>
      <c r="G1035" s="1" t="s">
        <v>128</v>
      </c>
      <c r="H1035" s="1" t="s">
        <v>1162</v>
      </c>
      <c r="I1035" s="1" t="s">
        <v>209</v>
      </c>
      <c r="J1035" s="1" t="s">
        <v>125</v>
      </c>
      <c r="K1035" s="1" t="s">
        <v>259</v>
      </c>
      <c r="L1035" s="1">
        <v>3199895</v>
      </c>
      <c r="M1035" s="1" t="s">
        <v>1205</v>
      </c>
      <c r="N1035" s="5">
        <f t="shared" si="374"/>
        <v>45323</v>
      </c>
      <c r="O1035" s="5">
        <f>DATE(2026,12,20)</f>
        <v>46376</v>
      </c>
      <c r="P1035" s="5">
        <f t="shared" si="375"/>
        <v>47471</v>
      </c>
      <c r="Q1035" s="1">
        <v>1200</v>
      </c>
      <c r="R1035" s="1">
        <v>1200</v>
      </c>
      <c r="S1035" s="1">
        <f t="shared" si="376"/>
        <v>1200</v>
      </c>
      <c r="T1035" s="1">
        <v>1.5</v>
      </c>
      <c r="U1035" s="1" t="str">
        <f t="shared" si="377"/>
        <v>SIM</v>
      </c>
      <c r="V1035" s="1">
        <f t="shared" si="378"/>
        <v>1054</v>
      </c>
      <c r="W1035" s="4">
        <f t="shared" si="379"/>
        <v>1.1385199240986716</v>
      </c>
      <c r="X1035" s="4">
        <f t="shared" si="380"/>
        <v>415.55977229601513</v>
      </c>
      <c r="Y1035" s="4">
        <f t="shared" si="381"/>
        <v>0.51944971537001894</v>
      </c>
      <c r="AB1035" s="5">
        <f t="shared" si="382"/>
        <v>45292</v>
      </c>
      <c r="AC1035" s="5">
        <f t="shared" si="383"/>
        <v>45657</v>
      </c>
      <c r="AD1035" s="1">
        <v>33</v>
      </c>
      <c r="AE1035" s="1">
        <f t="shared" si="384"/>
        <v>0</v>
      </c>
      <c r="AF1035" s="1">
        <f t="shared" si="385"/>
        <v>335</v>
      </c>
      <c r="AG1035" s="1">
        <f t="shared" si="386"/>
        <v>0</v>
      </c>
      <c r="AH1035" s="1">
        <f t="shared" si="387"/>
        <v>0</v>
      </c>
      <c r="AI1035" s="1">
        <f t="shared" si="388"/>
        <v>0</v>
      </c>
      <c r="AJ1035" s="3">
        <f t="shared" si="389"/>
        <v>0.91530054644808745</v>
      </c>
      <c r="AK1035" s="3">
        <f t="shared" si="390"/>
        <v>0.47545260833048181</v>
      </c>
      <c r="AL1035" s="3">
        <f t="shared" si="391"/>
        <v>15.6899360749059</v>
      </c>
      <c r="AM1035" s="3">
        <f t="shared" si="392"/>
        <v>23.534904112358848</v>
      </c>
      <c r="AN1035" s="3">
        <f t="shared" si="393"/>
        <v>0</v>
      </c>
      <c r="AO1035" s="3">
        <f t="shared" si="394"/>
        <v>23.534904112358848</v>
      </c>
      <c r="AP1035" s="1" t="str">
        <f>INDEX({"EAD";"EAD";"EAD";"EAD MOOC";"EAD";"EAD";"EAD FP";"EAD";"PRESENCIAL";"PRESENCIAL";"PRESENCIAL";"PRESENCIAL"}, MATCH(CONCATENATE(E1035, ".", F1035),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36" spans="1:42" x14ac:dyDescent="0.25">
      <c r="A1036" s="1" t="s">
        <v>27</v>
      </c>
      <c r="B1036" s="1" t="s">
        <v>54</v>
      </c>
      <c r="C1036" s="1" t="s">
        <v>29</v>
      </c>
      <c r="D1036" s="1" t="s">
        <v>55</v>
      </c>
      <c r="E1036" s="1" t="s">
        <v>120</v>
      </c>
      <c r="F1036" s="1" t="s">
        <v>447</v>
      </c>
      <c r="G1036" s="1" t="s">
        <v>128</v>
      </c>
      <c r="H1036" s="1" t="s">
        <v>129</v>
      </c>
      <c r="I1036" s="1" t="s">
        <v>124</v>
      </c>
      <c r="J1036" s="1" t="s">
        <v>125</v>
      </c>
      <c r="K1036" s="1" t="s">
        <v>259</v>
      </c>
      <c r="L1036" s="1">
        <v>3199900</v>
      </c>
      <c r="M1036" s="1" t="s">
        <v>1206</v>
      </c>
      <c r="N1036" s="5">
        <f t="shared" si="374"/>
        <v>45323</v>
      </c>
      <c r="O1036" s="5">
        <f>DATE(2026,12,20)</f>
        <v>46376</v>
      </c>
      <c r="P1036" s="5">
        <f t="shared" si="375"/>
        <v>47471</v>
      </c>
      <c r="Q1036" s="1">
        <v>1080</v>
      </c>
      <c r="R1036" s="1">
        <v>800</v>
      </c>
      <c r="S1036" s="1">
        <f t="shared" si="376"/>
        <v>800</v>
      </c>
      <c r="T1036" s="1">
        <v>1</v>
      </c>
      <c r="U1036" s="1" t="str">
        <f t="shared" si="377"/>
        <v>SIM</v>
      </c>
      <c r="V1036" s="1">
        <f t="shared" si="378"/>
        <v>1054</v>
      </c>
      <c r="W1036" s="4">
        <f t="shared" si="379"/>
        <v>0.75901328273244784</v>
      </c>
      <c r="X1036" s="4">
        <f t="shared" si="380"/>
        <v>277.03984819734347</v>
      </c>
      <c r="Y1036" s="4">
        <f t="shared" si="381"/>
        <v>0.34629981024667933</v>
      </c>
      <c r="AB1036" s="5">
        <f t="shared" si="382"/>
        <v>45292</v>
      </c>
      <c r="AC1036" s="5">
        <f t="shared" si="383"/>
        <v>45657</v>
      </c>
      <c r="AD1036" s="1">
        <v>29</v>
      </c>
      <c r="AE1036" s="1">
        <f t="shared" si="384"/>
        <v>0</v>
      </c>
      <c r="AF1036" s="1">
        <f t="shared" si="385"/>
        <v>335</v>
      </c>
      <c r="AG1036" s="1">
        <f t="shared" si="386"/>
        <v>0</v>
      </c>
      <c r="AH1036" s="1">
        <f t="shared" si="387"/>
        <v>0</v>
      </c>
      <c r="AI1036" s="1">
        <f t="shared" si="388"/>
        <v>0</v>
      </c>
      <c r="AJ1036" s="3">
        <f t="shared" si="389"/>
        <v>0.91530054644808745</v>
      </c>
      <c r="AK1036" s="3">
        <f t="shared" si="390"/>
        <v>0.31696840555365458</v>
      </c>
      <c r="AL1036" s="3">
        <f t="shared" si="391"/>
        <v>9.1920837610559829</v>
      </c>
      <c r="AM1036" s="3">
        <f t="shared" si="392"/>
        <v>9.1920837610559829</v>
      </c>
      <c r="AN1036" s="3">
        <f t="shared" si="393"/>
        <v>0</v>
      </c>
      <c r="AO1036" s="3">
        <f t="shared" si="394"/>
        <v>9.1920837610559829</v>
      </c>
      <c r="AP1036" s="1" t="str">
        <f>INDEX({"EAD";"EAD";"EAD";"EAD MOOC";"EAD";"EAD";"EAD FP";"EAD";"PRESENCIAL";"PRESENCIAL";"PRESENCIAL";"PRESENCIAL"}, MATCH(CONCATENATE(E1036, ".", F1036),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37" spans="1:42" x14ac:dyDescent="0.25">
      <c r="A1037" s="1" t="s">
        <v>27</v>
      </c>
      <c r="B1037" s="1" t="s">
        <v>56</v>
      </c>
      <c r="C1037" s="1" t="s">
        <v>29</v>
      </c>
      <c r="D1037" s="1" t="s">
        <v>57</v>
      </c>
      <c r="E1037" s="1" t="s">
        <v>120</v>
      </c>
      <c r="F1037" s="1" t="s">
        <v>21</v>
      </c>
      <c r="G1037" s="1" t="s">
        <v>140</v>
      </c>
      <c r="H1037" s="1" t="s">
        <v>1146</v>
      </c>
      <c r="I1037" s="1" t="s">
        <v>209</v>
      </c>
      <c r="J1037" s="1" t="s">
        <v>125</v>
      </c>
      <c r="K1037" s="1" t="s">
        <v>109</v>
      </c>
      <c r="L1037" s="1">
        <v>2025580</v>
      </c>
      <c r="M1037" s="1" t="s">
        <v>1207</v>
      </c>
      <c r="N1037" s="5">
        <f>DATE(2016,4,11)</f>
        <v>42471</v>
      </c>
      <c r="O1037" s="5">
        <f>DATE(2019,4,12)</f>
        <v>43567</v>
      </c>
      <c r="P1037" s="5">
        <f t="shared" si="375"/>
        <v>44662</v>
      </c>
      <c r="Q1037" s="1">
        <v>2140</v>
      </c>
      <c r="R1037" s="1">
        <v>2000</v>
      </c>
      <c r="S1037" s="1">
        <f t="shared" si="376"/>
        <v>2000</v>
      </c>
      <c r="T1037" s="1">
        <v>1.5</v>
      </c>
      <c r="U1037" s="1" t="str">
        <f t="shared" si="377"/>
        <v>NÃO</v>
      </c>
      <c r="V1037" s="1">
        <f t="shared" si="378"/>
        <v>1097</v>
      </c>
      <c r="W1037" s="4">
        <f t="shared" si="379"/>
        <v>1.8231540565177757</v>
      </c>
      <c r="X1037" s="4">
        <f t="shared" si="380"/>
        <v>665.45123062898813</v>
      </c>
      <c r="Y1037" s="4">
        <f t="shared" si="381"/>
        <v>0.83181403828623512</v>
      </c>
      <c r="AB1037" s="5">
        <f t="shared" si="382"/>
        <v>45292</v>
      </c>
      <c r="AC1037" s="5">
        <f t="shared" si="383"/>
        <v>45657</v>
      </c>
      <c r="AE1037" s="1">
        <f t="shared" si="384"/>
        <v>0</v>
      </c>
      <c r="AF1037" s="1">
        <f t="shared" si="385"/>
        <v>0</v>
      </c>
      <c r="AG1037" s="1">
        <f t="shared" si="386"/>
        <v>0</v>
      </c>
      <c r="AH1037" s="1">
        <f t="shared" si="387"/>
        <v>0</v>
      </c>
      <c r="AI1037" s="1">
        <f t="shared" si="388"/>
        <v>183</v>
      </c>
      <c r="AJ1037" s="3">
        <f t="shared" si="389"/>
        <v>0.5</v>
      </c>
      <c r="AK1037" s="3">
        <f t="shared" si="390"/>
        <v>0.41590701914311756</v>
      </c>
      <c r="AL1037" s="3">
        <f t="shared" si="391"/>
        <v>0</v>
      </c>
      <c r="AM1037" s="3">
        <f t="shared" si="392"/>
        <v>0</v>
      </c>
      <c r="AN1037" s="3">
        <f t="shared" si="393"/>
        <v>0</v>
      </c>
      <c r="AO1037" s="3">
        <f t="shared" si="394"/>
        <v>0</v>
      </c>
      <c r="AP1037" s="1" t="str">
        <f>INDEX({"EAD";"EAD";"EAD";"EAD MOOC";"EAD";"EAD";"EAD FP";"EAD";"PRESENCIAL";"PRESENCIAL";"PRESENCIAL";"PRESENCIAL"}, MATCH(CONCATENATE(E1037, ".", F1037),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38" spans="1:42" x14ac:dyDescent="0.25">
      <c r="A1038" s="1" t="s">
        <v>27</v>
      </c>
      <c r="B1038" s="1" t="s">
        <v>56</v>
      </c>
      <c r="C1038" s="1" t="s">
        <v>29</v>
      </c>
      <c r="D1038" s="1" t="s">
        <v>57</v>
      </c>
      <c r="E1038" s="1" t="s">
        <v>120</v>
      </c>
      <c r="F1038" s="1" t="s">
        <v>21</v>
      </c>
      <c r="G1038" s="1" t="s">
        <v>278</v>
      </c>
      <c r="H1038" s="1" t="s">
        <v>1017</v>
      </c>
      <c r="I1038" s="1" t="s">
        <v>172</v>
      </c>
      <c r="J1038" s="1" t="s">
        <v>125</v>
      </c>
      <c r="K1038" s="1" t="s">
        <v>109</v>
      </c>
      <c r="L1038" s="1">
        <v>2027480</v>
      </c>
      <c r="M1038" s="1" t="s">
        <v>1208</v>
      </c>
      <c r="N1038" s="5">
        <f>DATE(2016,4,11)</f>
        <v>42471</v>
      </c>
      <c r="O1038" s="5">
        <f>DATE(2020,4,9)</f>
        <v>43930</v>
      </c>
      <c r="P1038" s="5">
        <f t="shared" si="375"/>
        <v>45025</v>
      </c>
      <c r="Q1038" s="1">
        <v>3200</v>
      </c>
      <c r="R1038" s="1">
        <v>3200</v>
      </c>
      <c r="S1038" s="1">
        <f t="shared" si="376"/>
        <v>3200</v>
      </c>
      <c r="T1038" s="1">
        <v>2.5</v>
      </c>
      <c r="U1038" s="1" t="str">
        <f t="shared" si="377"/>
        <v>NÃO</v>
      </c>
      <c r="V1038" s="1">
        <f t="shared" si="378"/>
        <v>1460</v>
      </c>
      <c r="W1038" s="4">
        <f t="shared" si="379"/>
        <v>2.1917808219178081</v>
      </c>
      <c r="X1038" s="4">
        <f t="shared" si="380"/>
        <v>800</v>
      </c>
      <c r="Y1038" s="4">
        <f t="shared" si="381"/>
        <v>1</v>
      </c>
      <c r="AB1038" s="5">
        <f t="shared" si="382"/>
        <v>45292</v>
      </c>
      <c r="AC1038" s="5">
        <f t="shared" si="383"/>
        <v>45657</v>
      </c>
      <c r="AE1038" s="1">
        <f t="shared" si="384"/>
        <v>0</v>
      </c>
      <c r="AF1038" s="1">
        <f t="shared" si="385"/>
        <v>0</v>
      </c>
      <c r="AG1038" s="1">
        <f t="shared" si="386"/>
        <v>0</v>
      </c>
      <c r="AH1038" s="1">
        <f t="shared" si="387"/>
        <v>0</v>
      </c>
      <c r="AI1038" s="1">
        <f t="shared" si="388"/>
        <v>183</v>
      </c>
      <c r="AJ1038" s="3">
        <f t="shared" si="389"/>
        <v>0.5</v>
      </c>
      <c r="AK1038" s="3">
        <f t="shared" si="390"/>
        <v>0.5</v>
      </c>
      <c r="AL1038" s="3">
        <f t="shared" si="391"/>
        <v>0</v>
      </c>
      <c r="AM1038" s="3">
        <f t="shared" si="392"/>
        <v>0</v>
      </c>
      <c r="AN1038" s="3">
        <f t="shared" si="393"/>
        <v>0</v>
      </c>
      <c r="AO1038" s="3">
        <f t="shared" si="394"/>
        <v>0</v>
      </c>
      <c r="AP1038" s="1" t="str">
        <f>INDEX({"EAD";"EAD";"EAD";"EAD MOOC";"EAD";"EAD";"EAD FP";"EAD";"PRESENCIAL";"PRESENCIAL";"PRESENCIAL";"PRESENCIAL"}, MATCH(CONCATENATE(E1038, ".", F1038),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39" spans="1:42" x14ac:dyDescent="0.25">
      <c r="A1039" s="1" t="s">
        <v>27</v>
      </c>
      <c r="B1039" s="1" t="s">
        <v>56</v>
      </c>
      <c r="C1039" s="1" t="s">
        <v>29</v>
      </c>
      <c r="D1039" s="1" t="s">
        <v>57</v>
      </c>
      <c r="E1039" s="1" t="s">
        <v>120</v>
      </c>
      <c r="F1039" s="1" t="s">
        <v>21</v>
      </c>
      <c r="G1039" s="1" t="s">
        <v>128</v>
      </c>
      <c r="H1039" s="1" t="s">
        <v>218</v>
      </c>
      <c r="I1039" s="1" t="s">
        <v>124</v>
      </c>
      <c r="J1039" s="1" t="s">
        <v>125</v>
      </c>
      <c r="K1039" s="1" t="s">
        <v>130</v>
      </c>
      <c r="L1039" s="1">
        <v>2163603</v>
      </c>
      <c r="M1039" s="1" t="s">
        <v>1209</v>
      </c>
      <c r="N1039" s="5">
        <f>DATE(2017,4,17)</f>
        <v>42842</v>
      </c>
      <c r="O1039" s="5">
        <f>DATE(2020,4,17)</f>
        <v>43938</v>
      </c>
      <c r="P1039" s="5">
        <f t="shared" si="375"/>
        <v>45033</v>
      </c>
      <c r="Q1039" s="1">
        <v>3186</v>
      </c>
      <c r="R1039" s="1">
        <v>800</v>
      </c>
      <c r="S1039" s="1">
        <f t="shared" si="376"/>
        <v>3000</v>
      </c>
      <c r="T1039" s="1">
        <v>1.5</v>
      </c>
      <c r="U1039" s="1" t="str">
        <f t="shared" si="377"/>
        <v>NÃO</v>
      </c>
      <c r="V1039" s="1">
        <f t="shared" si="378"/>
        <v>1097</v>
      </c>
      <c r="W1039" s="4">
        <f t="shared" si="379"/>
        <v>2.7347310847766635</v>
      </c>
      <c r="X1039" s="4">
        <f t="shared" si="380"/>
        <v>998.17684594348214</v>
      </c>
      <c r="Y1039" s="4">
        <f t="shared" si="381"/>
        <v>1.2477210574293527</v>
      </c>
      <c r="AB1039" s="5">
        <f t="shared" si="382"/>
        <v>45292</v>
      </c>
      <c r="AC1039" s="5">
        <f t="shared" si="383"/>
        <v>45657</v>
      </c>
      <c r="AE1039" s="1">
        <f t="shared" si="384"/>
        <v>0</v>
      </c>
      <c r="AF1039" s="1">
        <f t="shared" si="385"/>
        <v>0</v>
      </c>
      <c r="AG1039" s="1">
        <f t="shared" si="386"/>
        <v>0</v>
      </c>
      <c r="AH1039" s="1">
        <f t="shared" si="387"/>
        <v>0</v>
      </c>
      <c r="AI1039" s="1">
        <f t="shared" si="388"/>
        <v>183</v>
      </c>
      <c r="AJ1039" s="3">
        <f t="shared" si="389"/>
        <v>0.5</v>
      </c>
      <c r="AK1039" s="3">
        <f t="shared" si="390"/>
        <v>0.62386052871467634</v>
      </c>
      <c r="AL1039" s="3">
        <f t="shared" si="391"/>
        <v>0</v>
      </c>
      <c r="AM1039" s="3">
        <f t="shared" si="392"/>
        <v>0</v>
      </c>
      <c r="AN1039" s="3">
        <f t="shared" si="393"/>
        <v>0</v>
      </c>
      <c r="AO1039" s="3">
        <f t="shared" si="394"/>
        <v>0</v>
      </c>
      <c r="AP1039" s="1" t="str">
        <f>INDEX({"EAD";"EAD";"EAD";"EAD MOOC";"EAD";"EAD";"EAD FP";"EAD";"PRESENCIAL";"PRESENCIAL";"PRESENCIAL";"PRESENCIAL"}, MATCH(CONCATENATE(E1039, ".", F1039),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40" spans="1:42" x14ac:dyDescent="0.25">
      <c r="A1040" s="1" t="s">
        <v>27</v>
      </c>
      <c r="B1040" s="1" t="s">
        <v>56</v>
      </c>
      <c r="C1040" s="1" t="s">
        <v>29</v>
      </c>
      <c r="D1040" s="1" t="s">
        <v>57</v>
      </c>
      <c r="E1040" s="1" t="s">
        <v>120</v>
      </c>
      <c r="F1040" s="1" t="s">
        <v>21</v>
      </c>
      <c r="G1040" s="1" t="s">
        <v>278</v>
      </c>
      <c r="H1040" s="1" t="s">
        <v>1017</v>
      </c>
      <c r="I1040" s="1" t="s">
        <v>172</v>
      </c>
      <c r="J1040" s="1" t="s">
        <v>125</v>
      </c>
      <c r="K1040" s="1" t="s">
        <v>109</v>
      </c>
      <c r="L1040" s="1">
        <v>2165438</v>
      </c>
      <c r="M1040" s="1" t="s">
        <v>1210</v>
      </c>
      <c r="N1040" s="5">
        <f>DATE(2017,5,15)</f>
        <v>42870</v>
      </c>
      <c r="O1040" s="5">
        <f>DATE(2021,5,13)</f>
        <v>44329</v>
      </c>
      <c r="P1040" s="5">
        <f t="shared" si="375"/>
        <v>45424</v>
      </c>
      <c r="Q1040" s="1">
        <v>3200</v>
      </c>
      <c r="R1040" s="1">
        <v>3200</v>
      </c>
      <c r="S1040" s="1">
        <f t="shared" si="376"/>
        <v>3200</v>
      </c>
      <c r="T1040" s="1">
        <v>2.5</v>
      </c>
      <c r="U1040" s="1" t="str">
        <f t="shared" si="377"/>
        <v>SIM</v>
      </c>
      <c r="V1040" s="1">
        <f t="shared" si="378"/>
        <v>1460</v>
      </c>
      <c r="W1040" s="4">
        <f t="shared" si="379"/>
        <v>2.1917808219178081</v>
      </c>
      <c r="X1040" s="4">
        <f t="shared" si="380"/>
        <v>800</v>
      </c>
      <c r="Y1040" s="4">
        <f t="shared" si="381"/>
        <v>1</v>
      </c>
      <c r="AB1040" s="5">
        <f t="shared" si="382"/>
        <v>45292</v>
      </c>
      <c r="AC1040" s="5">
        <f t="shared" si="383"/>
        <v>45657</v>
      </c>
      <c r="AD1040" s="1">
        <v>2</v>
      </c>
      <c r="AE1040" s="1">
        <f t="shared" si="384"/>
        <v>0</v>
      </c>
      <c r="AF1040" s="1">
        <f t="shared" si="385"/>
        <v>0</v>
      </c>
      <c r="AG1040" s="1">
        <f t="shared" si="386"/>
        <v>0</v>
      </c>
      <c r="AH1040" s="1">
        <f t="shared" si="387"/>
        <v>0</v>
      </c>
      <c r="AI1040" s="1">
        <f t="shared" si="388"/>
        <v>183</v>
      </c>
      <c r="AJ1040" s="3">
        <f t="shared" si="389"/>
        <v>0.5</v>
      </c>
      <c r="AK1040" s="3">
        <f t="shared" si="390"/>
        <v>0.5</v>
      </c>
      <c r="AL1040" s="3">
        <f t="shared" si="391"/>
        <v>0.5</v>
      </c>
      <c r="AM1040" s="3">
        <f t="shared" si="392"/>
        <v>1.25</v>
      </c>
      <c r="AN1040" s="3">
        <f t="shared" si="393"/>
        <v>0</v>
      </c>
      <c r="AO1040" s="3">
        <f t="shared" si="394"/>
        <v>1.25</v>
      </c>
      <c r="AP1040" s="1" t="str">
        <f>INDEX({"EAD";"EAD";"EAD";"EAD MOOC";"EAD";"EAD";"EAD FP";"EAD";"PRESENCIAL";"PRESENCIAL";"PRESENCIAL";"PRESENCIAL"}, MATCH(CONCATENATE(E1040, ".", F1040),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41" spans="1:42" x14ac:dyDescent="0.25">
      <c r="A1041" s="1" t="s">
        <v>27</v>
      </c>
      <c r="B1041" s="1" t="s">
        <v>56</v>
      </c>
      <c r="C1041" s="1" t="s">
        <v>29</v>
      </c>
      <c r="D1041" s="1" t="s">
        <v>57</v>
      </c>
      <c r="E1041" s="1" t="s">
        <v>120</v>
      </c>
      <c r="F1041" s="1" t="s">
        <v>21</v>
      </c>
      <c r="G1041" s="1" t="s">
        <v>140</v>
      </c>
      <c r="H1041" s="1" t="s">
        <v>1146</v>
      </c>
      <c r="I1041" s="1" t="s">
        <v>209</v>
      </c>
      <c r="J1041" s="1" t="s">
        <v>125</v>
      </c>
      <c r="K1041" s="1" t="s">
        <v>109</v>
      </c>
      <c r="L1041" s="1">
        <v>2165711</v>
      </c>
      <c r="M1041" s="1" t="s">
        <v>1211</v>
      </c>
      <c r="N1041" s="5">
        <f>DATE(2017,5,15)</f>
        <v>42870</v>
      </c>
      <c r="O1041" s="5">
        <f>DATE(2020,5,15)</f>
        <v>43966</v>
      </c>
      <c r="P1041" s="5">
        <f t="shared" si="375"/>
        <v>45061</v>
      </c>
      <c r="Q1041" s="1">
        <v>2140</v>
      </c>
      <c r="R1041" s="1">
        <v>2000</v>
      </c>
      <c r="S1041" s="1">
        <f t="shared" si="376"/>
        <v>2000</v>
      </c>
      <c r="T1041" s="1">
        <v>1.5</v>
      </c>
      <c r="U1041" s="1" t="str">
        <f t="shared" si="377"/>
        <v>NÃO</v>
      </c>
      <c r="V1041" s="1">
        <f t="shared" si="378"/>
        <v>1097</v>
      </c>
      <c r="W1041" s="4">
        <f t="shared" si="379"/>
        <v>1.8231540565177757</v>
      </c>
      <c r="X1041" s="4">
        <f t="shared" si="380"/>
        <v>665.45123062898813</v>
      </c>
      <c r="Y1041" s="4">
        <f t="shared" si="381"/>
        <v>0.83181403828623512</v>
      </c>
      <c r="AB1041" s="5">
        <f t="shared" si="382"/>
        <v>45292</v>
      </c>
      <c r="AC1041" s="5">
        <f t="shared" si="383"/>
        <v>45657</v>
      </c>
      <c r="AE1041" s="1">
        <f t="shared" si="384"/>
        <v>0</v>
      </c>
      <c r="AF1041" s="1">
        <f t="shared" si="385"/>
        <v>0</v>
      </c>
      <c r="AG1041" s="1">
        <f t="shared" si="386"/>
        <v>0</v>
      </c>
      <c r="AH1041" s="1">
        <f t="shared" si="387"/>
        <v>0</v>
      </c>
      <c r="AI1041" s="1">
        <f t="shared" si="388"/>
        <v>183</v>
      </c>
      <c r="AJ1041" s="3">
        <f t="shared" si="389"/>
        <v>0.5</v>
      </c>
      <c r="AK1041" s="3">
        <f t="shared" si="390"/>
        <v>0.41590701914311756</v>
      </c>
      <c r="AL1041" s="3">
        <f t="shared" si="391"/>
        <v>0</v>
      </c>
      <c r="AM1041" s="3">
        <f t="shared" si="392"/>
        <v>0</v>
      </c>
      <c r="AN1041" s="3">
        <f t="shared" si="393"/>
        <v>0</v>
      </c>
      <c r="AO1041" s="3">
        <f t="shared" si="394"/>
        <v>0</v>
      </c>
      <c r="AP1041" s="1" t="str">
        <f>INDEX({"EAD";"EAD";"EAD";"EAD MOOC";"EAD";"EAD";"EAD FP";"EAD";"PRESENCIAL";"PRESENCIAL";"PRESENCIAL";"PRESENCIAL"}, MATCH(CONCATENATE(E1041, ".", F1041),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42" spans="1:42" x14ac:dyDescent="0.25">
      <c r="A1042" s="1" t="s">
        <v>27</v>
      </c>
      <c r="B1042" s="1" t="s">
        <v>56</v>
      </c>
      <c r="C1042" s="1" t="s">
        <v>29</v>
      </c>
      <c r="D1042" s="1" t="s">
        <v>57</v>
      </c>
      <c r="E1042" s="1" t="s">
        <v>120</v>
      </c>
      <c r="F1042" s="1" t="s">
        <v>21</v>
      </c>
      <c r="G1042" s="1" t="s">
        <v>140</v>
      </c>
      <c r="H1042" s="1" t="s">
        <v>1146</v>
      </c>
      <c r="I1042" s="1" t="s">
        <v>209</v>
      </c>
      <c r="J1042" s="1" t="s">
        <v>125</v>
      </c>
      <c r="K1042" s="1" t="s">
        <v>109</v>
      </c>
      <c r="L1042" s="1">
        <v>2513923</v>
      </c>
      <c r="M1042" s="1" t="s">
        <v>1212</v>
      </c>
      <c r="N1042" s="5">
        <f>DATE(2018,5,14)</f>
        <v>43234</v>
      </c>
      <c r="O1042" s="5">
        <f>DATE(2021,5,14)</f>
        <v>44330</v>
      </c>
      <c r="P1042" s="5">
        <f t="shared" si="375"/>
        <v>45425</v>
      </c>
      <c r="Q1042" s="1">
        <v>2140</v>
      </c>
      <c r="R1042" s="1">
        <v>2000</v>
      </c>
      <c r="S1042" s="1">
        <f t="shared" si="376"/>
        <v>2000</v>
      </c>
      <c r="T1042" s="1">
        <v>1.5</v>
      </c>
      <c r="U1042" s="1" t="str">
        <f t="shared" si="377"/>
        <v>SIM</v>
      </c>
      <c r="V1042" s="1">
        <f t="shared" si="378"/>
        <v>1097</v>
      </c>
      <c r="W1042" s="4">
        <f t="shared" si="379"/>
        <v>1.8231540565177757</v>
      </c>
      <c r="X1042" s="4">
        <f t="shared" si="380"/>
        <v>665.45123062898813</v>
      </c>
      <c r="Y1042" s="4">
        <f t="shared" si="381"/>
        <v>0.83181403828623512</v>
      </c>
      <c r="AB1042" s="5">
        <f t="shared" si="382"/>
        <v>45292</v>
      </c>
      <c r="AC1042" s="5">
        <f t="shared" si="383"/>
        <v>45657</v>
      </c>
      <c r="AD1042" s="1">
        <v>6</v>
      </c>
      <c r="AE1042" s="1">
        <f t="shared" si="384"/>
        <v>0</v>
      </c>
      <c r="AF1042" s="1">
        <f t="shared" si="385"/>
        <v>0</v>
      </c>
      <c r="AG1042" s="1">
        <f t="shared" si="386"/>
        <v>0</v>
      </c>
      <c r="AH1042" s="1">
        <f t="shared" si="387"/>
        <v>0</v>
      </c>
      <c r="AI1042" s="1">
        <f t="shared" si="388"/>
        <v>183</v>
      </c>
      <c r="AJ1042" s="3">
        <f t="shared" si="389"/>
        <v>0.5</v>
      </c>
      <c r="AK1042" s="3">
        <f t="shared" si="390"/>
        <v>0.41590701914311756</v>
      </c>
      <c r="AL1042" s="3">
        <f t="shared" si="391"/>
        <v>1.2477210574293527</v>
      </c>
      <c r="AM1042" s="3">
        <f t="shared" si="392"/>
        <v>1.871581586144029</v>
      </c>
      <c r="AN1042" s="3">
        <f t="shared" si="393"/>
        <v>0</v>
      </c>
      <c r="AO1042" s="3">
        <f t="shared" si="394"/>
        <v>1.871581586144029</v>
      </c>
      <c r="AP1042" s="1" t="str">
        <f>INDEX({"EAD";"EAD";"EAD";"EAD MOOC";"EAD";"EAD";"EAD FP";"EAD";"PRESENCIAL";"PRESENCIAL";"PRESENCIAL";"PRESENCIAL"}, MATCH(CONCATENATE(E1042, ".", F1042),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43" spans="1:42" x14ac:dyDescent="0.25">
      <c r="A1043" s="1" t="s">
        <v>27</v>
      </c>
      <c r="B1043" s="1" t="s">
        <v>56</v>
      </c>
      <c r="C1043" s="1" t="s">
        <v>29</v>
      </c>
      <c r="D1043" s="1" t="s">
        <v>57</v>
      </c>
      <c r="E1043" s="1" t="s">
        <v>120</v>
      </c>
      <c r="F1043" s="1" t="s">
        <v>21</v>
      </c>
      <c r="G1043" s="1" t="s">
        <v>278</v>
      </c>
      <c r="H1043" s="1" t="s">
        <v>1017</v>
      </c>
      <c r="I1043" s="1" t="s">
        <v>172</v>
      </c>
      <c r="J1043" s="1" t="s">
        <v>125</v>
      </c>
      <c r="K1043" s="1" t="s">
        <v>109</v>
      </c>
      <c r="L1043" s="1">
        <v>2513924</v>
      </c>
      <c r="M1043" s="1" t="s">
        <v>1213</v>
      </c>
      <c r="N1043" s="5">
        <f>DATE(2018,5,14)</f>
        <v>43234</v>
      </c>
      <c r="O1043" s="5">
        <f>DATE(2022,5,12)</f>
        <v>44693</v>
      </c>
      <c r="P1043" s="5">
        <f t="shared" si="375"/>
        <v>45788</v>
      </c>
      <c r="Q1043" s="1">
        <v>3200</v>
      </c>
      <c r="R1043" s="1">
        <v>3200</v>
      </c>
      <c r="S1043" s="1">
        <f t="shared" si="376"/>
        <v>3200</v>
      </c>
      <c r="T1043" s="1">
        <v>2.5</v>
      </c>
      <c r="U1043" s="1" t="str">
        <f t="shared" si="377"/>
        <v>SIM</v>
      </c>
      <c r="V1043" s="1">
        <f t="shared" si="378"/>
        <v>1460</v>
      </c>
      <c r="W1043" s="4">
        <f t="shared" si="379"/>
        <v>2.1917808219178081</v>
      </c>
      <c r="X1043" s="4">
        <f t="shared" si="380"/>
        <v>800</v>
      </c>
      <c r="Y1043" s="4">
        <f t="shared" si="381"/>
        <v>1</v>
      </c>
      <c r="AB1043" s="5">
        <f t="shared" si="382"/>
        <v>45292</v>
      </c>
      <c r="AC1043" s="5">
        <f t="shared" si="383"/>
        <v>45657</v>
      </c>
      <c r="AD1043" s="1">
        <v>4</v>
      </c>
      <c r="AE1043" s="1">
        <f t="shared" si="384"/>
        <v>0</v>
      </c>
      <c r="AF1043" s="1">
        <f t="shared" si="385"/>
        <v>0</v>
      </c>
      <c r="AG1043" s="1">
        <f t="shared" si="386"/>
        <v>0</v>
      </c>
      <c r="AH1043" s="1">
        <f t="shared" si="387"/>
        <v>0</v>
      </c>
      <c r="AI1043" s="1">
        <f t="shared" si="388"/>
        <v>183</v>
      </c>
      <c r="AJ1043" s="3">
        <f t="shared" si="389"/>
        <v>0.5</v>
      </c>
      <c r="AK1043" s="3">
        <f t="shared" si="390"/>
        <v>0.5</v>
      </c>
      <c r="AL1043" s="3">
        <f t="shared" si="391"/>
        <v>1</v>
      </c>
      <c r="AM1043" s="3">
        <f t="shared" si="392"/>
        <v>2.5</v>
      </c>
      <c r="AN1043" s="3">
        <f t="shared" si="393"/>
        <v>0</v>
      </c>
      <c r="AO1043" s="3">
        <f t="shared" si="394"/>
        <v>2.5</v>
      </c>
      <c r="AP1043" s="1" t="str">
        <f>INDEX({"EAD";"EAD";"EAD";"EAD MOOC";"EAD";"EAD";"EAD FP";"EAD";"PRESENCIAL";"PRESENCIAL";"PRESENCIAL";"PRESENCIAL"}, MATCH(CONCATENATE(E1043, ".", F1043),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44" spans="1:42" x14ac:dyDescent="0.25">
      <c r="A1044" s="1" t="s">
        <v>27</v>
      </c>
      <c r="B1044" s="1" t="s">
        <v>56</v>
      </c>
      <c r="C1044" s="1" t="s">
        <v>29</v>
      </c>
      <c r="D1044" s="1" t="s">
        <v>57</v>
      </c>
      <c r="E1044" s="1" t="s">
        <v>120</v>
      </c>
      <c r="F1044" s="1" t="s">
        <v>21</v>
      </c>
      <c r="G1044" s="1" t="s">
        <v>128</v>
      </c>
      <c r="H1044" s="1" t="s">
        <v>129</v>
      </c>
      <c r="I1044" s="1" t="s">
        <v>124</v>
      </c>
      <c r="J1044" s="1" t="s">
        <v>125</v>
      </c>
      <c r="K1044" s="1" t="s">
        <v>316</v>
      </c>
      <c r="L1044" s="1">
        <v>2513133</v>
      </c>
      <c r="M1044" s="1" t="s">
        <v>1214</v>
      </c>
      <c r="N1044" s="5">
        <f>DATE(2018,6,4)</f>
        <v>43255</v>
      </c>
      <c r="O1044" s="5">
        <f>DATE(2021,6,4)</f>
        <v>44351</v>
      </c>
      <c r="P1044" s="5">
        <f t="shared" si="375"/>
        <v>45446</v>
      </c>
      <c r="Q1044" s="1">
        <v>2444</v>
      </c>
      <c r="R1044" s="1">
        <v>800</v>
      </c>
      <c r="S1044" s="1">
        <f t="shared" si="376"/>
        <v>2400</v>
      </c>
      <c r="T1044" s="1">
        <v>2.5</v>
      </c>
      <c r="U1044" s="1" t="str">
        <f t="shared" si="377"/>
        <v>SIM</v>
      </c>
      <c r="V1044" s="1">
        <f t="shared" si="378"/>
        <v>1097</v>
      </c>
      <c r="W1044" s="4">
        <f t="shared" si="379"/>
        <v>2.187784867821331</v>
      </c>
      <c r="X1044" s="4">
        <f t="shared" si="380"/>
        <v>798.54147675478578</v>
      </c>
      <c r="Y1044" s="4">
        <f t="shared" si="381"/>
        <v>0.99817684594348222</v>
      </c>
      <c r="AB1044" s="5">
        <f t="shared" si="382"/>
        <v>45292</v>
      </c>
      <c r="AC1044" s="5">
        <f t="shared" si="383"/>
        <v>45657</v>
      </c>
      <c r="AD1044" s="1">
        <v>3</v>
      </c>
      <c r="AE1044" s="1">
        <f t="shared" si="384"/>
        <v>0</v>
      </c>
      <c r="AF1044" s="1">
        <f t="shared" si="385"/>
        <v>0</v>
      </c>
      <c r="AG1044" s="1">
        <f t="shared" si="386"/>
        <v>0</v>
      </c>
      <c r="AH1044" s="1">
        <f t="shared" si="387"/>
        <v>0</v>
      </c>
      <c r="AI1044" s="1">
        <f t="shared" si="388"/>
        <v>183</v>
      </c>
      <c r="AJ1044" s="3">
        <f t="shared" si="389"/>
        <v>0.5</v>
      </c>
      <c r="AK1044" s="3">
        <f t="shared" si="390"/>
        <v>0.49908842297174111</v>
      </c>
      <c r="AL1044" s="3">
        <f t="shared" si="391"/>
        <v>0.74863263445761163</v>
      </c>
      <c r="AM1044" s="3">
        <f t="shared" si="392"/>
        <v>1.871581586144029</v>
      </c>
      <c r="AN1044" s="3">
        <f t="shared" si="393"/>
        <v>0</v>
      </c>
      <c r="AO1044" s="3">
        <f t="shared" si="394"/>
        <v>1.871581586144029</v>
      </c>
      <c r="AP1044" s="1" t="str">
        <f>INDEX({"EAD";"EAD";"EAD";"EAD MOOC";"EAD";"EAD";"EAD FP";"EAD";"PRESENCIAL";"PRESENCIAL";"PRESENCIAL";"PRESENCIAL"}, MATCH(CONCATENATE(E1044, ".", F1044),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45" spans="1:42" x14ac:dyDescent="0.25">
      <c r="A1045" s="1" t="s">
        <v>27</v>
      </c>
      <c r="B1045" s="1" t="s">
        <v>56</v>
      </c>
      <c r="C1045" s="1" t="s">
        <v>29</v>
      </c>
      <c r="D1045" s="1" t="s">
        <v>57</v>
      </c>
      <c r="E1045" s="1" t="s">
        <v>120</v>
      </c>
      <c r="F1045" s="1" t="s">
        <v>21</v>
      </c>
      <c r="G1045" s="1" t="s">
        <v>128</v>
      </c>
      <c r="H1045" s="1" t="s">
        <v>890</v>
      </c>
      <c r="I1045" s="1" t="s">
        <v>191</v>
      </c>
      <c r="J1045" s="1" t="s">
        <v>125</v>
      </c>
      <c r="K1045" s="1" t="s">
        <v>130</v>
      </c>
      <c r="L1045" s="1">
        <v>2597038</v>
      </c>
      <c r="M1045" s="1" t="s">
        <v>1215</v>
      </c>
      <c r="N1045" s="5">
        <f t="shared" ref="N1045:N1050" si="395">DATE(2019,3,7)</f>
        <v>43531</v>
      </c>
      <c r="O1045" s="5">
        <f>DATE(2022,3,7)</f>
        <v>44627</v>
      </c>
      <c r="P1045" s="5">
        <f t="shared" si="375"/>
        <v>45722</v>
      </c>
      <c r="Q1045" s="1">
        <v>3424</v>
      </c>
      <c r="R1045" s="1">
        <v>1200</v>
      </c>
      <c r="S1045" s="1">
        <f t="shared" si="376"/>
        <v>3200</v>
      </c>
      <c r="T1045" s="1">
        <v>2.5</v>
      </c>
      <c r="U1045" s="1" t="str">
        <f t="shared" si="377"/>
        <v>SIM</v>
      </c>
      <c r="V1045" s="1">
        <f t="shared" si="378"/>
        <v>1097</v>
      </c>
      <c r="W1045" s="4">
        <f t="shared" si="379"/>
        <v>2.917046490428441</v>
      </c>
      <c r="X1045" s="4">
        <f t="shared" si="380"/>
        <v>1064.721969006381</v>
      </c>
      <c r="Y1045" s="4">
        <f t="shared" si="381"/>
        <v>1.3309024612579763</v>
      </c>
      <c r="AB1045" s="5">
        <f t="shared" si="382"/>
        <v>45292</v>
      </c>
      <c r="AC1045" s="5">
        <f t="shared" si="383"/>
        <v>45657</v>
      </c>
      <c r="AD1045" s="1">
        <v>1</v>
      </c>
      <c r="AE1045" s="1">
        <f t="shared" si="384"/>
        <v>0</v>
      </c>
      <c r="AF1045" s="1">
        <f t="shared" si="385"/>
        <v>0</v>
      </c>
      <c r="AG1045" s="1">
        <f t="shared" si="386"/>
        <v>0</v>
      </c>
      <c r="AH1045" s="1">
        <f t="shared" si="387"/>
        <v>0</v>
      </c>
      <c r="AI1045" s="1">
        <f t="shared" si="388"/>
        <v>183</v>
      </c>
      <c r="AJ1045" s="3">
        <f t="shared" si="389"/>
        <v>0.5</v>
      </c>
      <c r="AK1045" s="3">
        <f t="shared" si="390"/>
        <v>0.66545123062898814</v>
      </c>
      <c r="AL1045" s="3">
        <f t="shared" si="391"/>
        <v>0.33272561531449407</v>
      </c>
      <c r="AM1045" s="3">
        <f t="shared" si="392"/>
        <v>0.83181403828623512</v>
      </c>
      <c r="AN1045" s="3">
        <f t="shared" si="393"/>
        <v>0</v>
      </c>
      <c r="AO1045" s="3">
        <f t="shared" si="394"/>
        <v>0.83181403828623512</v>
      </c>
      <c r="AP1045" s="1" t="str">
        <f>INDEX({"EAD";"EAD";"EAD";"EAD MOOC";"EAD";"EAD";"EAD FP";"EAD";"PRESENCIAL";"PRESENCIAL";"PRESENCIAL";"PRESENCIAL"}, MATCH(CONCATENATE(E1045, ".", F1045),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46" spans="1:42" x14ac:dyDescent="0.25">
      <c r="A1046" s="1" t="s">
        <v>27</v>
      </c>
      <c r="B1046" s="1" t="s">
        <v>56</v>
      </c>
      <c r="C1046" s="1" t="s">
        <v>29</v>
      </c>
      <c r="D1046" s="1" t="s">
        <v>57</v>
      </c>
      <c r="E1046" s="1" t="s">
        <v>120</v>
      </c>
      <c r="F1046" s="1" t="s">
        <v>21</v>
      </c>
      <c r="G1046" s="1" t="s">
        <v>128</v>
      </c>
      <c r="H1046" s="1" t="s">
        <v>218</v>
      </c>
      <c r="I1046" s="1" t="s">
        <v>124</v>
      </c>
      <c r="J1046" s="1" t="s">
        <v>125</v>
      </c>
      <c r="K1046" s="1" t="s">
        <v>130</v>
      </c>
      <c r="L1046" s="1">
        <v>2597039</v>
      </c>
      <c r="M1046" s="1" t="s">
        <v>1216</v>
      </c>
      <c r="N1046" s="5">
        <f t="shared" si="395"/>
        <v>43531</v>
      </c>
      <c r="O1046" s="5">
        <f>DATE(2022,3,7)</f>
        <v>44627</v>
      </c>
      <c r="P1046" s="5">
        <f t="shared" si="375"/>
        <v>45722</v>
      </c>
      <c r="Q1046" s="1">
        <v>3186</v>
      </c>
      <c r="R1046" s="1">
        <v>800</v>
      </c>
      <c r="S1046" s="1">
        <f t="shared" si="376"/>
        <v>3000</v>
      </c>
      <c r="T1046" s="1">
        <v>1.5</v>
      </c>
      <c r="U1046" s="1" t="str">
        <f t="shared" si="377"/>
        <v>SIM</v>
      </c>
      <c r="V1046" s="1">
        <f t="shared" si="378"/>
        <v>1097</v>
      </c>
      <c r="W1046" s="4">
        <f t="shared" si="379"/>
        <v>2.7347310847766635</v>
      </c>
      <c r="X1046" s="4">
        <f t="shared" si="380"/>
        <v>998.17684594348214</v>
      </c>
      <c r="Y1046" s="4">
        <f t="shared" si="381"/>
        <v>1.2477210574293527</v>
      </c>
      <c r="AB1046" s="5">
        <f t="shared" si="382"/>
        <v>45292</v>
      </c>
      <c r="AC1046" s="5">
        <f t="shared" si="383"/>
        <v>45657</v>
      </c>
      <c r="AD1046" s="1">
        <v>1</v>
      </c>
      <c r="AE1046" s="1">
        <f t="shared" si="384"/>
        <v>0</v>
      </c>
      <c r="AF1046" s="1">
        <f t="shared" si="385"/>
        <v>0</v>
      </c>
      <c r="AG1046" s="1">
        <f t="shared" si="386"/>
        <v>0</v>
      </c>
      <c r="AH1046" s="1">
        <f t="shared" si="387"/>
        <v>0</v>
      </c>
      <c r="AI1046" s="1">
        <f t="shared" si="388"/>
        <v>183</v>
      </c>
      <c r="AJ1046" s="3">
        <f t="shared" si="389"/>
        <v>0.5</v>
      </c>
      <c r="AK1046" s="3">
        <f t="shared" si="390"/>
        <v>0.62386052871467634</v>
      </c>
      <c r="AL1046" s="3">
        <f t="shared" si="391"/>
        <v>0.31193026435733817</v>
      </c>
      <c r="AM1046" s="3">
        <f t="shared" si="392"/>
        <v>0.46789539653600726</v>
      </c>
      <c r="AN1046" s="3">
        <f t="shared" si="393"/>
        <v>0</v>
      </c>
      <c r="AO1046" s="3">
        <f t="shared" si="394"/>
        <v>0.46789539653600726</v>
      </c>
      <c r="AP1046" s="1" t="str">
        <f>INDEX({"EAD";"EAD";"EAD";"EAD MOOC";"EAD";"EAD";"EAD FP";"EAD";"PRESENCIAL";"PRESENCIAL";"PRESENCIAL";"PRESENCIAL"}, MATCH(CONCATENATE(E1046, ".", F1046),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47" spans="1:42" x14ac:dyDescent="0.25">
      <c r="A1047" s="1" t="s">
        <v>27</v>
      </c>
      <c r="B1047" s="1" t="s">
        <v>56</v>
      </c>
      <c r="C1047" s="1" t="s">
        <v>29</v>
      </c>
      <c r="D1047" s="1" t="s">
        <v>57</v>
      </c>
      <c r="E1047" s="1" t="s">
        <v>120</v>
      </c>
      <c r="F1047" s="1" t="s">
        <v>21</v>
      </c>
      <c r="G1047" s="1" t="s">
        <v>128</v>
      </c>
      <c r="H1047" s="1" t="s">
        <v>129</v>
      </c>
      <c r="I1047" s="1" t="s">
        <v>124</v>
      </c>
      <c r="J1047" s="1" t="s">
        <v>125</v>
      </c>
      <c r="K1047" s="1" t="s">
        <v>316</v>
      </c>
      <c r="L1047" s="1">
        <v>2597041</v>
      </c>
      <c r="M1047" s="1" t="s">
        <v>1217</v>
      </c>
      <c r="N1047" s="5">
        <f t="shared" si="395"/>
        <v>43531</v>
      </c>
      <c r="O1047" s="5">
        <f>DATE(2022,3,7)</f>
        <v>44627</v>
      </c>
      <c r="P1047" s="5">
        <f t="shared" si="375"/>
        <v>45722</v>
      </c>
      <c r="Q1047" s="1">
        <v>2444</v>
      </c>
      <c r="R1047" s="1">
        <v>800</v>
      </c>
      <c r="S1047" s="1">
        <f t="shared" si="376"/>
        <v>2400</v>
      </c>
      <c r="T1047" s="1">
        <v>2.5</v>
      </c>
      <c r="U1047" s="1" t="str">
        <f t="shared" si="377"/>
        <v>SIM</v>
      </c>
      <c r="V1047" s="1">
        <f t="shared" si="378"/>
        <v>1097</v>
      </c>
      <c r="W1047" s="4">
        <f t="shared" si="379"/>
        <v>2.187784867821331</v>
      </c>
      <c r="X1047" s="4">
        <f t="shared" si="380"/>
        <v>798.54147675478578</v>
      </c>
      <c r="Y1047" s="4">
        <f t="shared" si="381"/>
        <v>0.99817684594348222</v>
      </c>
      <c r="AB1047" s="5">
        <f t="shared" si="382"/>
        <v>45292</v>
      </c>
      <c r="AC1047" s="5">
        <f t="shared" si="383"/>
        <v>45657</v>
      </c>
      <c r="AD1047" s="1">
        <v>4</v>
      </c>
      <c r="AE1047" s="1">
        <f t="shared" si="384"/>
        <v>0</v>
      </c>
      <c r="AF1047" s="1">
        <f t="shared" si="385"/>
        <v>0</v>
      </c>
      <c r="AG1047" s="1">
        <f t="shared" si="386"/>
        <v>0</v>
      </c>
      <c r="AH1047" s="1">
        <f t="shared" si="387"/>
        <v>0</v>
      </c>
      <c r="AI1047" s="1">
        <f t="shared" si="388"/>
        <v>183</v>
      </c>
      <c r="AJ1047" s="3">
        <f t="shared" si="389"/>
        <v>0.5</v>
      </c>
      <c r="AK1047" s="3">
        <f t="shared" si="390"/>
        <v>0.49908842297174111</v>
      </c>
      <c r="AL1047" s="3">
        <f t="shared" si="391"/>
        <v>0.99817684594348222</v>
      </c>
      <c r="AM1047" s="3">
        <f t="shared" si="392"/>
        <v>2.4954421148587054</v>
      </c>
      <c r="AN1047" s="3">
        <f t="shared" si="393"/>
        <v>0</v>
      </c>
      <c r="AO1047" s="3">
        <f t="shared" si="394"/>
        <v>2.4954421148587054</v>
      </c>
      <c r="AP1047" s="1" t="str">
        <f>INDEX({"EAD";"EAD";"EAD";"EAD MOOC";"EAD";"EAD";"EAD FP";"EAD";"PRESENCIAL";"PRESENCIAL";"PRESENCIAL";"PRESENCIAL"}, MATCH(CONCATENATE(E1047, ".", F1047),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48" spans="1:42" x14ac:dyDescent="0.25">
      <c r="A1048" s="1" t="s">
        <v>27</v>
      </c>
      <c r="B1048" s="1" t="s">
        <v>56</v>
      </c>
      <c r="C1048" s="1" t="s">
        <v>29</v>
      </c>
      <c r="D1048" s="1" t="s">
        <v>57</v>
      </c>
      <c r="E1048" s="1" t="s">
        <v>120</v>
      </c>
      <c r="F1048" s="1" t="s">
        <v>21</v>
      </c>
      <c r="G1048" s="1" t="s">
        <v>128</v>
      </c>
      <c r="H1048" s="1" t="s">
        <v>890</v>
      </c>
      <c r="I1048" s="1" t="s">
        <v>191</v>
      </c>
      <c r="J1048" s="1" t="s">
        <v>125</v>
      </c>
      <c r="K1048" s="1" t="s">
        <v>163</v>
      </c>
      <c r="L1048" s="1">
        <v>2597043</v>
      </c>
      <c r="M1048" s="1" t="s">
        <v>1218</v>
      </c>
      <c r="N1048" s="5">
        <f t="shared" si="395"/>
        <v>43531</v>
      </c>
      <c r="O1048" s="5">
        <f>DATE(2020,9,7)</f>
        <v>44081</v>
      </c>
      <c r="P1048" s="5">
        <f t="shared" si="375"/>
        <v>45176</v>
      </c>
      <c r="Q1048" s="1">
        <v>1207</v>
      </c>
      <c r="R1048" s="1">
        <v>1200</v>
      </c>
      <c r="S1048" s="1">
        <f t="shared" si="376"/>
        <v>1200</v>
      </c>
      <c r="T1048" s="1">
        <v>2.5</v>
      </c>
      <c r="U1048" s="1" t="str">
        <f t="shared" si="377"/>
        <v>NÃO</v>
      </c>
      <c r="V1048" s="1">
        <f t="shared" si="378"/>
        <v>551</v>
      </c>
      <c r="W1048" s="4">
        <f t="shared" si="379"/>
        <v>2.1778584392014517</v>
      </c>
      <c r="X1048" s="4">
        <f t="shared" si="380"/>
        <v>794.9183303085299</v>
      </c>
      <c r="Y1048" s="4">
        <f t="shared" si="381"/>
        <v>0.99364791288566234</v>
      </c>
      <c r="AB1048" s="5">
        <f t="shared" si="382"/>
        <v>45292</v>
      </c>
      <c r="AC1048" s="5">
        <f t="shared" si="383"/>
        <v>45657</v>
      </c>
      <c r="AE1048" s="1">
        <f t="shared" si="384"/>
        <v>0</v>
      </c>
      <c r="AF1048" s="1">
        <f t="shared" si="385"/>
        <v>0</v>
      </c>
      <c r="AG1048" s="1">
        <f t="shared" si="386"/>
        <v>0</v>
      </c>
      <c r="AH1048" s="1">
        <f t="shared" si="387"/>
        <v>0</v>
      </c>
      <c r="AI1048" s="1">
        <f t="shared" si="388"/>
        <v>183</v>
      </c>
      <c r="AJ1048" s="3">
        <f t="shared" si="389"/>
        <v>0.5</v>
      </c>
      <c r="AK1048" s="3">
        <f t="shared" si="390"/>
        <v>0.49682395644283117</v>
      </c>
      <c r="AL1048" s="3">
        <f t="shared" si="391"/>
        <v>0</v>
      </c>
      <c r="AM1048" s="3">
        <f t="shared" si="392"/>
        <v>0</v>
      </c>
      <c r="AN1048" s="3">
        <f t="shared" si="393"/>
        <v>0</v>
      </c>
      <c r="AO1048" s="3">
        <f t="shared" si="394"/>
        <v>0</v>
      </c>
      <c r="AP1048" s="1" t="str">
        <f>INDEX({"EAD";"EAD";"EAD";"EAD MOOC";"EAD";"EAD";"EAD FP";"EAD";"PRESENCIAL";"PRESENCIAL";"PRESENCIAL";"PRESENCIAL"}, MATCH(CONCATENATE(E1048, ".", F1048),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49" spans="1:42" x14ac:dyDescent="0.25">
      <c r="A1049" s="1" t="s">
        <v>27</v>
      </c>
      <c r="B1049" s="1" t="s">
        <v>56</v>
      </c>
      <c r="C1049" s="1" t="s">
        <v>29</v>
      </c>
      <c r="D1049" s="1" t="s">
        <v>57</v>
      </c>
      <c r="E1049" s="1" t="s">
        <v>120</v>
      </c>
      <c r="F1049" s="1" t="s">
        <v>21</v>
      </c>
      <c r="G1049" s="1" t="s">
        <v>278</v>
      </c>
      <c r="H1049" s="1" t="s">
        <v>1017</v>
      </c>
      <c r="I1049" s="1" t="s">
        <v>172</v>
      </c>
      <c r="J1049" s="1" t="s">
        <v>125</v>
      </c>
      <c r="K1049" s="1" t="s">
        <v>109</v>
      </c>
      <c r="L1049" s="1">
        <v>2598270</v>
      </c>
      <c r="M1049" s="1" t="s">
        <v>1219</v>
      </c>
      <c r="N1049" s="5">
        <f t="shared" si="395"/>
        <v>43531</v>
      </c>
      <c r="O1049" s="5">
        <f>DATE(2023,3,5)</f>
        <v>44990</v>
      </c>
      <c r="P1049" s="5">
        <f t="shared" si="375"/>
        <v>46085</v>
      </c>
      <c r="Q1049" s="1">
        <v>3200</v>
      </c>
      <c r="R1049" s="1">
        <v>3200</v>
      </c>
      <c r="S1049" s="1">
        <f t="shared" si="376"/>
        <v>3200</v>
      </c>
      <c r="T1049" s="1">
        <v>2.5</v>
      </c>
      <c r="U1049" s="1" t="str">
        <f t="shared" si="377"/>
        <v>SIM</v>
      </c>
      <c r="V1049" s="1">
        <f t="shared" si="378"/>
        <v>1460</v>
      </c>
      <c r="W1049" s="4">
        <f t="shared" si="379"/>
        <v>2.1917808219178081</v>
      </c>
      <c r="X1049" s="4">
        <f t="shared" si="380"/>
        <v>800</v>
      </c>
      <c r="Y1049" s="4">
        <f t="shared" si="381"/>
        <v>1</v>
      </c>
      <c r="AB1049" s="5">
        <f t="shared" si="382"/>
        <v>45292</v>
      </c>
      <c r="AC1049" s="5">
        <f t="shared" si="383"/>
        <v>45657</v>
      </c>
      <c r="AD1049" s="1">
        <v>14</v>
      </c>
      <c r="AE1049" s="1">
        <f t="shared" si="384"/>
        <v>0</v>
      </c>
      <c r="AF1049" s="1">
        <f t="shared" si="385"/>
        <v>0</v>
      </c>
      <c r="AG1049" s="1">
        <f t="shared" si="386"/>
        <v>0</v>
      </c>
      <c r="AH1049" s="1">
        <f t="shared" si="387"/>
        <v>0</v>
      </c>
      <c r="AI1049" s="1">
        <f t="shared" si="388"/>
        <v>183</v>
      </c>
      <c r="AJ1049" s="3">
        <f t="shared" si="389"/>
        <v>0.5</v>
      </c>
      <c r="AK1049" s="3">
        <f t="shared" si="390"/>
        <v>0.5</v>
      </c>
      <c r="AL1049" s="3">
        <f t="shared" si="391"/>
        <v>3.5</v>
      </c>
      <c r="AM1049" s="3">
        <f t="shared" si="392"/>
        <v>8.75</v>
      </c>
      <c r="AN1049" s="3">
        <f t="shared" si="393"/>
        <v>0</v>
      </c>
      <c r="AO1049" s="3">
        <f t="shared" si="394"/>
        <v>8.75</v>
      </c>
      <c r="AP1049" s="1" t="str">
        <f>INDEX({"EAD";"EAD";"EAD";"EAD MOOC";"EAD";"EAD";"EAD FP";"EAD";"PRESENCIAL";"PRESENCIAL";"PRESENCIAL";"PRESENCIAL"}, MATCH(CONCATENATE(E1049, ".", F1049),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50" spans="1:42" x14ac:dyDescent="0.25">
      <c r="A1050" s="1" t="s">
        <v>27</v>
      </c>
      <c r="B1050" s="1" t="s">
        <v>56</v>
      </c>
      <c r="C1050" s="1" t="s">
        <v>29</v>
      </c>
      <c r="D1050" s="1" t="s">
        <v>57</v>
      </c>
      <c r="E1050" s="1" t="s">
        <v>120</v>
      </c>
      <c r="F1050" s="1" t="s">
        <v>21</v>
      </c>
      <c r="G1050" s="1" t="s">
        <v>140</v>
      </c>
      <c r="H1050" s="1" t="s">
        <v>1146</v>
      </c>
      <c r="I1050" s="1" t="s">
        <v>209</v>
      </c>
      <c r="J1050" s="1" t="s">
        <v>125</v>
      </c>
      <c r="K1050" s="1" t="s">
        <v>109</v>
      </c>
      <c r="L1050" s="1">
        <v>2598272</v>
      </c>
      <c r="M1050" s="1" t="s">
        <v>1220</v>
      </c>
      <c r="N1050" s="5">
        <f t="shared" si="395"/>
        <v>43531</v>
      </c>
      <c r="O1050" s="5">
        <f>DATE(2022,3,7)</f>
        <v>44627</v>
      </c>
      <c r="P1050" s="5">
        <f t="shared" si="375"/>
        <v>45722</v>
      </c>
      <c r="Q1050" s="1">
        <v>2140</v>
      </c>
      <c r="R1050" s="1">
        <v>2000</v>
      </c>
      <c r="S1050" s="1">
        <f t="shared" si="376"/>
        <v>2000</v>
      </c>
      <c r="T1050" s="1">
        <v>1.5</v>
      </c>
      <c r="U1050" s="1" t="str">
        <f t="shared" si="377"/>
        <v>SIM</v>
      </c>
      <c r="V1050" s="1">
        <f t="shared" si="378"/>
        <v>1097</v>
      </c>
      <c r="W1050" s="4">
        <f t="shared" si="379"/>
        <v>1.8231540565177757</v>
      </c>
      <c r="X1050" s="4">
        <f t="shared" si="380"/>
        <v>665.45123062898813</v>
      </c>
      <c r="Y1050" s="4">
        <f t="shared" si="381"/>
        <v>0.83181403828623512</v>
      </c>
      <c r="AB1050" s="5">
        <f t="shared" si="382"/>
        <v>45292</v>
      </c>
      <c r="AC1050" s="5">
        <f t="shared" si="383"/>
        <v>45657</v>
      </c>
      <c r="AD1050" s="1">
        <v>19</v>
      </c>
      <c r="AE1050" s="1">
        <f t="shared" si="384"/>
        <v>0</v>
      </c>
      <c r="AF1050" s="1">
        <f t="shared" si="385"/>
        <v>0</v>
      </c>
      <c r="AG1050" s="1">
        <f t="shared" si="386"/>
        <v>0</v>
      </c>
      <c r="AH1050" s="1">
        <f t="shared" si="387"/>
        <v>0</v>
      </c>
      <c r="AI1050" s="1">
        <f t="shared" si="388"/>
        <v>183</v>
      </c>
      <c r="AJ1050" s="3">
        <f t="shared" si="389"/>
        <v>0.5</v>
      </c>
      <c r="AK1050" s="3">
        <f t="shared" si="390"/>
        <v>0.41590701914311756</v>
      </c>
      <c r="AL1050" s="3">
        <f t="shared" si="391"/>
        <v>3.9511166818596166</v>
      </c>
      <c r="AM1050" s="3">
        <f t="shared" si="392"/>
        <v>5.9266750227894249</v>
      </c>
      <c r="AN1050" s="3">
        <f t="shared" si="393"/>
        <v>0</v>
      </c>
      <c r="AO1050" s="3">
        <f t="shared" si="394"/>
        <v>5.9266750227894249</v>
      </c>
      <c r="AP1050" s="1" t="str">
        <f>INDEX({"EAD";"EAD";"EAD";"EAD MOOC";"EAD";"EAD";"EAD FP";"EAD";"PRESENCIAL";"PRESENCIAL";"PRESENCIAL";"PRESENCIAL"}, MATCH(CONCATENATE(E1050, ".", F1050),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51" spans="1:42" x14ac:dyDescent="0.25">
      <c r="A1051" s="1" t="s">
        <v>27</v>
      </c>
      <c r="B1051" s="1" t="s">
        <v>56</v>
      </c>
      <c r="C1051" s="1" t="s">
        <v>29</v>
      </c>
      <c r="D1051" s="1" t="s">
        <v>57</v>
      </c>
      <c r="E1051" s="1" t="s">
        <v>120</v>
      </c>
      <c r="F1051" s="1" t="s">
        <v>21</v>
      </c>
      <c r="G1051" s="1" t="s">
        <v>128</v>
      </c>
      <c r="H1051" s="1" t="s">
        <v>218</v>
      </c>
      <c r="I1051" s="1" t="s">
        <v>124</v>
      </c>
      <c r="J1051" s="1" t="s">
        <v>125</v>
      </c>
      <c r="K1051" s="1" t="s">
        <v>130</v>
      </c>
      <c r="L1051" s="1">
        <v>2679281</v>
      </c>
      <c r="M1051" s="1" t="s">
        <v>1221</v>
      </c>
      <c r="N1051" s="5">
        <f t="shared" ref="N1051:N1057" si="396">DATE(2020,2,10)</f>
        <v>43871</v>
      </c>
      <c r="O1051" s="5">
        <f t="shared" ref="O1051:O1056" si="397">DATE(2023,2,10)</f>
        <v>44967</v>
      </c>
      <c r="P1051" s="5">
        <f t="shared" si="375"/>
        <v>46062</v>
      </c>
      <c r="Q1051" s="1">
        <v>3186</v>
      </c>
      <c r="R1051" s="1">
        <v>800</v>
      </c>
      <c r="S1051" s="1">
        <f t="shared" si="376"/>
        <v>3000</v>
      </c>
      <c r="T1051" s="1">
        <v>1.5</v>
      </c>
      <c r="U1051" s="1" t="str">
        <f t="shared" si="377"/>
        <v>SIM</v>
      </c>
      <c r="V1051" s="1">
        <f t="shared" si="378"/>
        <v>1097</v>
      </c>
      <c r="W1051" s="4">
        <f t="shared" si="379"/>
        <v>2.7347310847766635</v>
      </c>
      <c r="X1051" s="4">
        <f t="shared" si="380"/>
        <v>998.17684594348214</v>
      </c>
      <c r="Y1051" s="4">
        <f t="shared" si="381"/>
        <v>1.2477210574293527</v>
      </c>
      <c r="AB1051" s="5">
        <f t="shared" si="382"/>
        <v>45292</v>
      </c>
      <c r="AC1051" s="5">
        <f t="shared" si="383"/>
        <v>45657</v>
      </c>
      <c r="AD1051" s="1">
        <v>8</v>
      </c>
      <c r="AE1051" s="1">
        <f t="shared" si="384"/>
        <v>0</v>
      </c>
      <c r="AF1051" s="1">
        <f t="shared" si="385"/>
        <v>0</v>
      </c>
      <c r="AG1051" s="1">
        <f t="shared" si="386"/>
        <v>0</v>
      </c>
      <c r="AH1051" s="1">
        <f t="shared" si="387"/>
        <v>0</v>
      </c>
      <c r="AI1051" s="1">
        <f t="shared" si="388"/>
        <v>183</v>
      </c>
      <c r="AJ1051" s="3">
        <f t="shared" si="389"/>
        <v>0.5</v>
      </c>
      <c r="AK1051" s="3">
        <f t="shared" si="390"/>
        <v>0.62386052871467634</v>
      </c>
      <c r="AL1051" s="3">
        <f t="shared" si="391"/>
        <v>2.4954421148587054</v>
      </c>
      <c r="AM1051" s="3">
        <f t="shared" si="392"/>
        <v>3.7431631722880581</v>
      </c>
      <c r="AN1051" s="3">
        <f t="shared" si="393"/>
        <v>0</v>
      </c>
      <c r="AO1051" s="3">
        <f t="shared" si="394"/>
        <v>3.7431631722880581</v>
      </c>
      <c r="AP1051" s="1" t="str">
        <f>INDEX({"EAD";"EAD";"EAD";"EAD MOOC";"EAD";"EAD";"EAD FP";"EAD";"PRESENCIAL";"PRESENCIAL";"PRESENCIAL";"PRESENCIAL"}, MATCH(CONCATENATE(E1051, ".", F1051),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52" spans="1:42" x14ac:dyDescent="0.25">
      <c r="A1052" s="1" t="s">
        <v>27</v>
      </c>
      <c r="B1052" s="1" t="s">
        <v>56</v>
      </c>
      <c r="C1052" s="1" t="s">
        <v>29</v>
      </c>
      <c r="D1052" s="1" t="s">
        <v>57</v>
      </c>
      <c r="E1052" s="1" t="s">
        <v>120</v>
      </c>
      <c r="F1052" s="1" t="s">
        <v>21</v>
      </c>
      <c r="G1052" s="1" t="s">
        <v>128</v>
      </c>
      <c r="H1052" s="1" t="s">
        <v>227</v>
      </c>
      <c r="I1052" s="1" t="s">
        <v>228</v>
      </c>
      <c r="J1052" s="1" t="s">
        <v>125</v>
      </c>
      <c r="K1052" s="1" t="s">
        <v>130</v>
      </c>
      <c r="L1052" s="1">
        <v>2679282</v>
      </c>
      <c r="M1052" s="1" t="s">
        <v>1222</v>
      </c>
      <c r="N1052" s="5">
        <f t="shared" si="396"/>
        <v>43871</v>
      </c>
      <c r="O1052" s="5">
        <f t="shared" si="397"/>
        <v>44967</v>
      </c>
      <c r="P1052" s="5">
        <f t="shared" si="375"/>
        <v>46062</v>
      </c>
      <c r="Q1052" s="1">
        <v>3424</v>
      </c>
      <c r="R1052" s="1">
        <v>1200</v>
      </c>
      <c r="S1052" s="1">
        <f t="shared" si="376"/>
        <v>3200</v>
      </c>
      <c r="T1052" s="1">
        <v>2.5</v>
      </c>
      <c r="U1052" s="1" t="str">
        <f t="shared" si="377"/>
        <v>SIM</v>
      </c>
      <c r="V1052" s="1">
        <f t="shared" si="378"/>
        <v>1097</v>
      </c>
      <c r="W1052" s="4">
        <f t="shared" si="379"/>
        <v>2.917046490428441</v>
      </c>
      <c r="X1052" s="4">
        <f t="shared" si="380"/>
        <v>1064.721969006381</v>
      </c>
      <c r="Y1052" s="4">
        <f t="shared" si="381"/>
        <v>1.3309024612579763</v>
      </c>
      <c r="AB1052" s="5">
        <f t="shared" si="382"/>
        <v>45292</v>
      </c>
      <c r="AC1052" s="5">
        <f t="shared" si="383"/>
        <v>45657</v>
      </c>
      <c r="AD1052" s="1">
        <v>12</v>
      </c>
      <c r="AE1052" s="1">
        <f t="shared" si="384"/>
        <v>0</v>
      </c>
      <c r="AF1052" s="1">
        <f t="shared" si="385"/>
        <v>0</v>
      </c>
      <c r="AG1052" s="1">
        <f t="shared" si="386"/>
        <v>0</v>
      </c>
      <c r="AH1052" s="1">
        <f t="shared" si="387"/>
        <v>0</v>
      </c>
      <c r="AI1052" s="1">
        <f t="shared" si="388"/>
        <v>183</v>
      </c>
      <c r="AJ1052" s="3">
        <f t="shared" si="389"/>
        <v>0.5</v>
      </c>
      <c r="AK1052" s="3">
        <f t="shared" si="390"/>
        <v>0.66545123062898814</v>
      </c>
      <c r="AL1052" s="3">
        <f t="shared" si="391"/>
        <v>3.9927073837739289</v>
      </c>
      <c r="AM1052" s="3">
        <f t="shared" si="392"/>
        <v>9.9817684594348215</v>
      </c>
      <c r="AN1052" s="3">
        <f t="shared" si="393"/>
        <v>0</v>
      </c>
      <c r="AO1052" s="3">
        <f t="shared" si="394"/>
        <v>9.9817684594348215</v>
      </c>
      <c r="AP1052" s="1" t="str">
        <f>INDEX({"EAD";"EAD";"EAD";"EAD MOOC";"EAD";"EAD";"EAD FP";"EAD";"PRESENCIAL";"PRESENCIAL";"PRESENCIAL";"PRESENCIAL"}, MATCH(CONCATENATE(E1052, ".", F1052),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53" spans="1:42" x14ac:dyDescent="0.25">
      <c r="A1053" s="1" t="s">
        <v>27</v>
      </c>
      <c r="B1053" s="1" t="s">
        <v>56</v>
      </c>
      <c r="C1053" s="1" t="s">
        <v>29</v>
      </c>
      <c r="D1053" s="1" t="s">
        <v>57</v>
      </c>
      <c r="E1053" s="1" t="s">
        <v>120</v>
      </c>
      <c r="F1053" s="1" t="s">
        <v>21</v>
      </c>
      <c r="G1053" s="1" t="s">
        <v>128</v>
      </c>
      <c r="H1053" s="1" t="s">
        <v>890</v>
      </c>
      <c r="I1053" s="1" t="s">
        <v>191</v>
      </c>
      <c r="J1053" s="1" t="s">
        <v>125</v>
      </c>
      <c r="K1053" s="1" t="s">
        <v>130</v>
      </c>
      <c r="L1053" s="1">
        <v>2679283</v>
      </c>
      <c r="M1053" s="1" t="s">
        <v>1223</v>
      </c>
      <c r="N1053" s="5">
        <f t="shared" si="396"/>
        <v>43871</v>
      </c>
      <c r="O1053" s="5">
        <f t="shared" si="397"/>
        <v>44967</v>
      </c>
      <c r="P1053" s="5">
        <f t="shared" si="375"/>
        <v>46062</v>
      </c>
      <c r="Q1053" s="1">
        <v>3424</v>
      </c>
      <c r="R1053" s="1">
        <v>1200</v>
      </c>
      <c r="S1053" s="1">
        <f t="shared" si="376"/>
        <v>3200</v>
      </c>
      <c r="T1053" s="1">
        <v>2.5</v>
      </c>
      <c r="U1053" s="1" t="str">
        <f t="shared" si="377"/>
        <v>SIM</v>
      </c>
      <c r="V1053" s="1">
        <f t="shared" si="378"/>
        <v>1097</v>
      </c>
      <c r="W1053" s="4">
        <f t="shared" si="379"/>
        <v>2.917046490428441</v>
      </c>
      <c r="X1053" s="4">
        <f t="shared" si="380"/>
        <v>1064.721969006381</v>
      </c>
      <c r="Y1053" s="4">
        <f t="shared" si="381"/>
        <v>1.3309024612579763</v>
      </c>
      <c r="AB1053" s="5">
        <f t="shared" si="382"/>
        <v>45292</v>
      </c>
      <c r="AC1053" s="5">
        <f t="shared" si="383"/>
        <v>45657</v>
      </c>
      <c r="AD1053" s="1">
        <v>2</v>
      </c>
      <c r="AE1053" s="1">
        <f t="shared" si="384"/>
        <v>0</v>
      </c>
      <c r="AF1053" s="1">
        <f t="shared" si="385"/>
        <v>0</v>
      </c>
      <c r="AG1053" s="1">
        <f t="shared" si="386"/>
        <v>0</v>
      </c>
      <c r="AH1053" s="1">
        <f t="shared" si="387"/>
        <v>0</v>
      </c>
      <c r="AI1053" s="1">
        <f t="shared" si="388"/>
        <v>183</v>
      </c>
      <c r="AJ1053" s="3">
        <f t="shared" si="389"/>
        <v>0.5</v>
      </c>
      <c r="AK1053" s="3">
        <f t="shared" si="390"/>
        <v>0.66545123062898814</v>
      </c>
      <c r="AL1053" s="3">
        <f t="shared" si="391"/>
        <v>0.66545123062898814</v>
      </c>
      <c r="AM1053" s="3">
        <f t="shared" si="392"/>
        <v>1.6636280765724702</v>
      </c>
      <c r="AN1053" s="3">
        <f t="shared" si="393"/>
        <v>0</v>
      </c>
      <c r="AO1053" s="3">
        <f t="shared" si="394"/>
        <v>1.6636280765724702</v>
      </c>
      <c r="AP1053" s="1" t="str">
        <f>INDEX({"EAD";"EAD";"EAD";"EAD MOOC";"EAD";"EAD";"EAD FP";"EAD";"PRESENCIAL";"PRESENCIAL";"PRESENCIAL";"PRESENCIAL"}, MATCH(CONCATENATE(E1053, ".", F1053),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54" spans="1:42" x14ac:dyDescent="0.25">
      <c r="A1054" s="1" t="s">
        <v>27</v>
      </c>
      <c r="B1054" s="1" t="s">
        <v>56</v>
      </c>
      <c r="C1054" s="1" t="s">
        <v>29</v>
      </c>
      <c r="D1054" s="1" t="s">
        <v>57</v>
      </c>
      <c r="E1054" s="1" t="s">
        <v>120</v>
      </c>
      <c r="F1054" s="1" t="s">
        <v>21</v>
      </c>
      <c r="G1054" s="1" t="s">
        <v>128</v>
      </c>
      <c r="H1054" s="1" t="s">
        <v>208</v>
      </c>
      <c r="I1054" s="1" t="s">
        <v>209</v>
      </c>
      <c r="J1054" s="1" t="s">
        <v>125</v>
      </c>
      <c r="K1054" s="1" t="s">
        <v>130</v>
      </c>
      <c r="L1054" s="1">
        <v>2679287</v>
      </c>
      <c r="M1054" s="1" t="s">
        <v>1224</v>
      </c>
      <c r="N1054" s="5">
        <f t="shared" si="396"/>
        <v>43871</v>
      </c>
      <c r="O1054" s="5">
        <f t="shared" si="397"/>
        <v>44967</v>
      </c>
      <c r="P1054" s="5">
        <f t="shared" si="375"/>
        <v>46062</v>
      </c>
      <c r="Q1054" s="1">
        <v>3672</v>
      </c>
      <c r="R1054" s="1">
        <v>1200</v>
      </c>
      <c r="S1054" s="1">
        <f t="shared" si="376"/>
        <v>3200</v>
      </c>
      <c r="T1054" s="1">
        <v>1.5</v>
      </c>
      <c r="U1054" s="1" t="str">
        <f t="shared" si="377"/>
        <v>SIM</v>
      </c>
      <c r="V1054" s="1">
        <f t="shared" si="378"/>
        <v>1097</v>
      </c>
      <c r="W1054" s="4">
        <f t="shared" si="379"/>
        <v>2.917046490428441</v>
      </c>
      <c r="X1054" s="4">
        <f t="shared" si="380"/>
        <v>1064.721969006381</v>
      </c>
      <c r="Y1054" s="4">
        <f t="shared" si="381"/>
        <v>1.3309024612579763</v>
      </c>
      <c r="AB1054" s="5">
        <f t="shared" si="382"/>
        <v>45292</v>
      </c>
      <c r="AC1054" s="5">
        <f t="shared" si="383"/>
        <v>45657</v>
      </c>
      <c r="AD1054" s="1">
        <v>7</v>
      </c>
      <c r="AE1054" s="1">
        <f t="shared" si="384"/>
        <v>0</v>
      </c>
      <c r="AF1054" s="1">
        <f t="shared" si="385"/>
        <v>0</v>
      </c>
      <c r="AG1054" s="1">
        <f t="shared" si="386"/>
        <v>0</v>
      </c>
      <c r="AH1054" s="1">
        <f t="shared" si="387"/>
        <v>0</v>
      </c>
      <c r="AI1054" s="1">
        <f t="shared" si="388"/>
        <v>183</v>
      </c>
      <c r="AJ1054" s="3">
        <f t="shared" si="389"/>
        <v>0.5</v>
      </c>
      <c r="AK1054" s="3">
        <f t="shared" si="390"/>
        <v>0.66545123062898814</v>
      </c>
      <c r="AL1054" s="3">
        <f t="shared" si="391"/>
        <v>2.3290793072014586</v>
      </c>
      <c r="AM1054" s="3">
        <f t="shared" si="392"/>
        <v>3.4936189608021877</v>
      </c>
      <c r="AN1054" s="3">
        <f t="shared" si="393"/>
        <v>0</v>
      </c>
      <c r="AO1054" s="3">
        <f t="shared" si="394"/>
        <v>3.4936189608021877</v>
      </c>
      <c r="AP1054" s="1" t="str">
        <f>INDEX({"EAD";"EAD";"EAD";"EAD MOOC";"EAD";"EAD";"EAD FP";"EAD";"PRESENCIAL";"PRESENCIAL";"PRESENCIAL";"PRESENCIAL"}, MATCH(CONCATENATE(E1054, ".", F1054),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55" spans="1:42" x14ac:dyDescent="0.25">
      <c r="A1055" s="1" t="s">
        <v>27</v>
      </c>
      <c r="B1055" s="1" t="s">
        <v>56</v>
      </c>
      <c r="C1055" s="1" t="s">
        <v>29</v>
      </c>
      <c r="D1055" s="1" t="s">
        <v>57</v>
      </c>
      <c r="E1055" s="1" t="s">
        <v>120</v>
      </c>
      <c r="F1055" s="1" t="s">
        <v>21</v>
      </c>
      <c r="G1055" s="1" t="s">
        <v>128</v>
      </c>
      <c r="H1055" s="1" t="s">
        <v>129</v>
      </c>
      <c r="I1055" s="1" t="s">
        <v>124</v>
      </c>
      <c r="J1055" s="1" t="s">
        <v>125</v>
      </c>
      <c r="K1055" s="1" t="s">
        <v>316</v>
      </c>
      <c r="L1055" s="1">
        <v>2679294</v>
      </c>
      <c r="M1055" s="1" t="s">
        <v>1225</v>
      </c>
      <c r="N1055" s="5">
        <f t="shared" si="396"/>
        <v>43871</v>
      </c>
      <c r="O1055" s="5">
        <f t="shared" si="397"/>
        <v>44967</v>
      </c>
      <c r="P1055" s="5">
        <f t="shared" si="375"/>
        <v>46062</v>
      </c>
      <c r="Q1055" s="1">
        <v>2444</v>
      </c>
      <c r="R1055" s="1">
        <v>800</v>
      </c>
      <c r="S1055" s="1">
        <f t="shared" si="376"/>
        <v>2400</v>
      </c>
      <c r="T1055" s="1">
        <v>2.5</v>
      </c>
      <c r="U1055" s="1" t="str">
        <f t="shared" si="377"/>
        <v>SIM</v>
      </c>
      <c r="V1055" s="1">
        <f t="shared" si="378"/>
        <v>1097</v>
      </c>
      <c r="W1055" s="4">
        <f t="shared" si="379"/>
        <v>2.187784867821331</v>
      </c>
      <c r="X1055" s="4">
        <f t="shared" si="380"/>
        <v>798.54147675478578</v>
      </c>
      <c r="Y1055" s="4">
        <f t="shared" si="381"/>
        <v>0.99817684594348222</v>
      </c>
      <c r="AB1055" s="5">
        <f t="shared" si="382"/>
        <v>45292</v>
      </c>
      <c r="AC1055" s="5">
        <f t="shared" si="383"/>
        <v>45657</v>
      </c>
      <c r="AD1055" s="1">
        <v>11</v>
      </c>
      <c r="AE1055" s="1">
        <f t="shared" si="384"/>
        <v>0</v>
      </c>
      <c r="AF1055" s="1">
        <f t="shared" si="385"/>
        <v>0</v>
      </c>
      <c r="AG1055" s="1">
        <f t="shared" si="386"/>
        <v>0</v>
      </c>
      <c r="AH1055" s="1">
        <f t="shared" si="387"/>
        <v>0</v>
      </c>
      <c r="AI1055" s="1">
        <f t="shared" si="388"/>
        <v>183</v>
      </c>
      <c r="AJ1055" s="3">
        <f t="shared" si="389"/>
        <v>0.5</v>
      </c>
      <c r="AK1055" s="3">
        <f t="shared" si="390"/>
        <v>0.49908842297174111</v>
      </c>
      <c r="AL1055" s="3">
        <f t="shared" si="391"/>
        <v>2.7449863263445762</v>
      </c>
      <c r="AM1055" s="3">
        <f t="shared" si="392"/>
        <v>6.8624658158614409</v>
      </c>
      <c r="AN1055" s="3">
        <f t="shared" si="393"/>
        <v>0</v>
      </c>
      <c r="AO1055" s="3">
        <f t="shared" si="394"/>
        <v>6.8624658158614409</v>
      </c>
      <c r="AP1055" s="1" t="str">
        <f>INDEX({"EAD";"EAD";"EAD";"EAD MOOC";"EAD";"EAD";"EAD FP";"EAD";"PRESENCIAL";"PRESENCIAL";"PRESENCIAL";"PRESENCIAL"}, MATCH(CONCATENATE(E1055, ".", F1055),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56" spans="1:42" x14ac:dyDescent="0.25">
      <c r="A1056" s="1" t="s">
        <v>27</v>
      </c>
      <c r="B1056" s="1" t="s">
        <v>56</v>
      </c>
      <c r="C1056" s="1" t="s">
        <v>29</v>
      </c>
      <c r="D1056" s="1" t="s">
        <v>57</v>
      </c>
      <c r="E1056" s="1" t="s">
        <v>120</v>
      </c>
      <c r="F1056" s="1" t="s">
        <v>21</v>
      </c>
      <c r="G1056" s="1" t="s">
        <v>140</v>
      </c>
      <c r="H1056" s="1" t="s">
        <v>1146</v>
      </c>
      <c r="I1056" s="1" t="s">
        <v>209</v>
      </c>
      <c r="J1056" s="1" t="s">
        <v>125</v>
      </c>
      <c r="K1056" s="1" t="s">
        <v>109</v>
      </c>
      <c r="L1056" s="1">
        <v>2679302</v>
      </c>
      <c r="M1056" s="1" t="s">
        <v>1226</v>
      </c>
      <c r="N1056" s="5">
        <f t="shared" si="396"/>
        <v>43871</v>
      </c>
      <c r="O1056" s="5">
        <f t="shared" si="397"/>
        <v>44967</v>
      </c>
      <c r="P1056" s="5">
        <f t="shared" si="375"/>
        <v>46062</v>
      </c>
      <c r="Q1056" s="1">
        <v>2140</v>
      </c>
      <c r="R1056" s="1">
        <v>2000</v>
      </c>
      <c r="S1056" s="1">
        <f t="shared" si="376"/>
        <v>2000</v>
      </c>
      <c r="T1056" s="1">
        <v>1.5</v>
      </c>
      <c r="U1056" s="1" t="str">
        <f t="shared" si="377"/>
        <v>SIM</v>
      </c>
      <c r="V1056" s="1">
        <f t="shared" si="378"/>
        <v>1097</v>
      </c>
      <c r="W1056" s="4">
        <f t="shared" si="379"/>
        <v>1.8231540565177757</v>
      </c>
      <c r="X1056" s="4">
        <f t="shared" si="380"/>
        <v>665.45123062898813</v>
      </c>
      <c r="Y1056" s="4">
        <f t="shared" si="381"/>
        <v>0.83181403828623512</v>
      </c>
      <c r="AB1056" s="5">
        <f t="shared" si="382"/>
        <v>45292</v>
      </c>
      <c r="AC1056" s="5">
        <f t="shared" si="383"/>
        <v>45657</v>
      </c>
      <c r="AD1056" s="1">
        <v>26</v>
      </c>
      <c r="AE1056" s="1">
        <f t="shared" si="384"/>
        <v>0</v>
      </c>
      <c r="AF1056" s="1">
        <f t="shared" si="385"/>
        <v>0</v>
      </c>
      <c r="AG1056" s="1">
        <f t="shared" si="386"/>
        <v>0</v>
      </c>
      <c r="AH1056" s="1">
        <f t="shared" si="387"/>
        <v>0</v>
      </c>
      <c r="AI1056" s="1">
        <f t="shared" si="388"/>
        <v>183</v>
      </c>
      <c r="AJ1056" s="3">
        <f t="shared" si="389"/>
        <v>0.5</v>
      </c>
      <c r="AK1056" s="3">
        <f t="shared" si="390"/>
        <v>0.41590701914311756</v>
      </c>
      <c r="AL1056" s="3">
        <f t="shared" si="391"/>
        <v>5.4067912488605288</v>
      </c>
      <c r="AM1056" s="3">
        <f t="shared" si="392"/>
        <v>8.1101868732907931</v>
      </c>
      <c r="AN1056" s="3">
        <f t="shared" si="393"/>
        <v>0</v>
      </c>
      <c r="AO1056" s="3">
        <f t="shared" si="394"/>
        <v>8.1101868732907931</v>
      </c>
      <c r="AP1056" s="1" t="str">
        <f>INDEX({"EAD";"EAD";"EAD";"EAD MOOC";"EAD";"EAD";"EAD FP";"EAD";"PRESENCIAL";"PRESENCIAL";"PRESENCIAL";"PRESENCIAL"}, MATCH(CONCATENATE(E1056, ".", F1056),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57" spans="1:42" x14ac:dyDescent="0.25">
      <c r="A1057" s="1" t="s">
        <v>27</v>
      </c>
      <c r="B1057" s="1" t="s">
        <v>56</v>
      </c>
      <c r="C1057" s="1" t="s">
        <v>29</v>
      </c>
      <c r="D1057" s="1" t="s">
        <v>57</v>
      </c>
      <c r="E1057" s="1" t="s">
        <v>120</v>
      </c>
      <c r="F1057" s="1" t="s">
        <v>21</v>
      </c>
      <c r="G1057" s="1" t="s">
        <v>278</v>
      </c>
      <c r="H1057" s="1" t="s">
        <v>1017</v>
      </c>
      <c r="I1057" s="1" t="s">
        <v>172</v>
      </c>
      <c r="J1057" s="1" t="s">
        <v>125</v>
      </c>
      <c r="K1057" s="1" t="s">
        <v>109</v>
      </c>
      <c r="L1057" s="1">
        <v>2679307</v>
      </c>
      <c r="M1057" s="1" t="s">
        <v>1227</v>
      </c>
      <c r="N1057" s="5">
        <f t="shared" si="396"/>
        <v>43871</v>
      </c>
      <c r="O1057" s="5">
        <f>DATE(2024,2,8)</f>
        <v>45330</v>
      </c>
      <c r="P1057" s="5">
        <f t="shared" si="375"/>
        <v>46425</v>
      </c>
      <c r="Q1057" s="1">
        <v>3200</v>
      </c>
      <c r="R1057" s="1">
        <v>3200</v>
      </c>
      <c r="S1057" s="1">
        <f t="shared" si="376"/>
        <v>3200</v>
      </c>
      <c r="T1057" s="1">
        <v>2.5</v>
      </c>
      <c r="U1057" s="1" t="str">
        <f t="shared" si="377"/>
        <v>SIM</v>
      </c>
      <c r="V1057" s="1">
        <f t="shared" si="378"/>
        <v>1460</v>
      </c>
      <c r="W1057" s="4">
        <f t="shared" si="379"/>
        <v>2.1917808219178081</v>
      </c>
      <c r="X1057" s="4">
        <f t="shared" si="380"/>
        <v>800</v>
      </c>
      <c r="Y1057" s="4">
        <f t="shared" si="381"/>
        <v>1</v>
      </c>
      <c r="AB1057" s="5">
        <f t="shared" si="382"/>
        <v>45292</v>
      </c>
      <c r="AC1057" s="5">
        <f t="shared" si="383"/>
        <v>45657</v>
      </c>
      <c r="AD1057" s="1">
        <v>21</v>
      </c>
      <c r="AE1057" s="1">
        <f t="shared" si="384"/>
        <v>0</v>
      </c>
      <c r="AF1057" s="1">
        <f t="shared" si="385"/>
        <v>0</v>
      </c>
      <c r="AG1057" s="1">
        <f t="shared" si="386"/>
        <v>39</v>
      </c>
      <c r="AH1057" s="1">
        <f t="shared" si="387"/>
        <v>0</v>
      </c>
      <c r="AI1057" s="1">
        <f t="shared" si="388"/>
        <v>0</v>
      </c>
      <c r="AJ1057" s="3">
        <f t="shared" si="389"/>
        <v>0.10655737704918032</v>
      </c>
      <c r="AK1057" s="3">
        <f t="shared" si="390"/>
        <v>0.10655737704918032</v>
      </c>
      <c r="AL1057" s="3">
        <f t="shared" si="391"/>
        <v>2.2377049180327866</v>
      </c>
      <c r="AM1057" s="3">
        <f t="shared" si="392"/>
        <v>5.5942622950819665</v>
      </c>
      <c r="AN1057" s="3">
        <f t="shared" si="393"/>
        <v>0</v>
      </c>
      <c r="AO1057" s="3">
        <f t="shared" si="394"/>
        <v>5.5942622950819665</v>
      </c>
      <c r="AP1057" s="1" t="str">
        <f>INDEX({"EAD";"EAD";"EAD";"EAD MOOC";"EAD";"EAD";"EAD FP";"EAD";"PRESENCIAL";"PRESENCIAL";"PRESENCIAL";"PRESENCIAL"}, MATCH(CONCATENATE(E1057, ".", F1057),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58" spans="1:42" x14ac:dyDescent="0.25">
      <c r="A1058" s="1" t="s">
        <v>27</v>
      </c>
      <c r="B1058" s="1" t="s">
        <v>56</v>
      </c>
      <c r="C1058" s="1" t="s">
        <v>29</v>
      </c>
      <c r="D1058" s="1" t="s">
        <v>57</v>
      </c>
      <c r="E1058" s="1" t="s">
        <v>120</v>
      </c>
      <c r="F1058" s="1" t="s">
        <v>21</v>
      </c>
      <c r="G1058" s="1" t="s">
        <v>128</v>
      </c>
      <c r="H1058" s="1" t="s">
        <v>227</v>
      </c>
      <c r="I1058" s="1" t="s">
        <v>228</v>
      </c>
      <c r="J1058" s="1" t="s">
        <v>125</v>
      </c>
      <c r="K1058" s="1" t="s">
        <v>130</v>
      </c>
      <c r="L1058" s="1">
        <v>2760996</v>
      </c>
      <c r="M1058" s="1" t="s">
        <v>1228</v>
      </c>
      <c r="N1058" s="5">
        <f t="shared" ref="N1058:N1064" si="398">DATE(2021,3,1)</f>
        <v>44256</v>
      </c>
      <c r="O1058" s="5">
        <f t="shared" ref="O1058:O1063" si="399">DATE(2024,3,1)</f>
        <v>45352</v>
      </c>
      <c r="P1058" s="5">
        <f t="shared" si="375"/>
        <v>46447</v>
      </c>
      <c r="Q1058" s="1">
        <v>3424</v>
      </c>
      <c r="R1058" s="1">
        <v>1200</v>
      </c>
      <c r="S1058" s="1">
        <f t="shared" si="376"/>
        <v>3200</v>
      </c>
      <c r="T1058" s="1">
        <v>2.5</v>
      </c>
      <c r="U1058" s="1" t="str">
        <f t="shared" si="377"/>
        <v>SIM</v>
      </c>
      <c r="V1058" s="1">
        <f t="shared" si="378"/>
        <v>1097</v>
      </c>
      <c r="W1058" s="4">
        <f t="shared" si="379"/>
        <v>2.917046490428441</v>
      </c>
      <c r="X1058" s="4">
        <f t="shared" si="380"/>
        <v>1064.721969006381</v>
      </c>
      <c r="Y1058" s="4">
        <f t="shared" si="381"/>
        <v>1.3309024612579763</v>
      </c>
      <c r="AB1058" s="5">
        <f t="shared" si="382"/>
        <v>45292</v>
      </c>
      <c r="AC1058" s="5">
        <f t="shared" si="383"/>
        <v>45657</v>
      </c>
      <c r="AD1058" s="1">
        <v>21</v>
      </c>
      <c r="AE1058" s="1">
        <f t="shared" si="384"/>
        <v>0</v>
      </c>
      <c r="AF1058" s="1">
        <f t="shared" si="385"/>
        <v>0</v>
      </c>
      <c r="AG1058" s="1">
        <f t="shared" si="386"/>
        <v>61</v>
      </c>
      <c r="AH1058" s="1">
        <f t="shared" si="387"/>
        <v>0</v>
      </c>
      <c r="AI1058" s="1">
        <f t="shared" si="388"/>
        <v>0</v>
      </c>
      <c r="AJ1058" s="3">
        <f t="shared" si="389"/>
        <v>0.16666666666666666</v>
      </c>
      <c r="AK1058" s="3">
        <f t="shared" si="390"/>
        <v>0.22181707687632937</v>
      </c>
      <c r="AL1058" s="3">
        <f t="shared" si="391"/>
        <v>4.6581586144029172</v>
      </c>
      <c r="AM1058" s="3">
        <f t="shared" si="392"/>
        <v>11.645396536007294</v>
      </c>
      <c r="AN1058" s="3">
        <f t="shared" si="393"/>
        <v>0</v>
      </c>
      <c r="AO1058" s="3">
        <f t="shared" si="394"/>
        <v>11.645396536007294</v>
      </c>
      <c r="AP1058" s="1" t="str">
        <f>INDEX({"EAD";"EAD";"EAD";"EAD MOOC";"EAD";"EAD";"EAD FP";"EAD";"PRESENCIAL";"PRESENCIAL";"PRESENCIAL";"PRESENCIAL"}, MATCH(CONCATENATE(E1058, ".", F1058),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59" spans="1:42" x14ac:dyDescent="0.25">
      <c r="A1059" s="1" t="s">
        <v>27</v>
      </c>
      <c r="B1059" s="1" t="s">
        <v>56</v>
      </c>
      <c r="C1059" s="1" t="s">
        <v>29</v>
      </c>
      <c r="D1059" s="1" t="s">
        <v>57</v>
      </c>
      <c r="E1059" s="1" t="s">
        <v>120</v>
      </c>
      <c r="F1059" s="1" t="s">
        <v>21</v>
      </c>
      <c r="G1059" s="1" t="s">
        <v>128</v>
      </c>
      <c r="H1059" s="1" t="s">
        <v>208</v>
      </c>
      <c r="I1059" s="1" t="s">
        <v>209</v>
      </c>
      <c r="J1059" s="1" t="s">
        <v>125</v>
      </c>
      <c r="K1059" s="1" t="s">
        <v>130</v>
      </c>
      <c r="L1059" s="1">
        <v>2761045</v>
      </c>
      <c r="M1059" s="1" t="s">
        <v>1229</v>
      </c>
      <c r="N1059" s="5">
        <f t="shared" si="398"/>
        <v>44256</v>
      </c>
      <c r="O1059" s="5">
        <f t="shared" si="399"/>
        <v>45352</v>
      </c>
      <c r="P1059" s="5">
        <f t="shared" si="375"/>
        <v>46447</v>
      </c>
      <c r="Q1059" s="1">
        <v>3672</v>
      </c>
      <c r="R1059" s="1">
        <v>1200</v>
      </c>
      <c r="S1059" s="1">
        <f t="shared" si="376"/>
        <v>3200</v>
      </c>
      <c r="T1059" s="1">
        <v>1.5</v>
      </c>
      <c r="U1059" s="1" t="str">
        <f t="shared" si="377"/>
        <v>SIM</v>
      </c>
      <c r="V1059" s="1">
        <f t="shared" si="378"/>
        <v>1097</v>
      </c>
      <c r="W1059" s="4">
        <f t="shared" si="379"/>
        <v>2.917046490428441</v>
      </c>
      <c r="X1059" s="4">
        <f t="shared" si="380"/>
        <v>1064.721969006381</v>
      </c>
      <c r="Y1059" s="4">
        <f t="shared" si="381"/>
        <v>1.3309024612579763</v>
      </c>
      <c r="AB1059" s="5">
        <f t="shared" si="382"/>
        <v>45292</v>
      </c>
      <c r="AC1059" s="5">
        <f t="shared" si="383"/>
        <v>45657</v>
      </c>
      <c r="AD1059" s="1">
        <v>18</v>
      </c>
      <c r="AE1059" s="1">
        <f t="shared" si="384"/>
        <v>0</v>
      </c>
      <c r="AF1059" s="1">
        <f t="shared" si="385"/>
        <v>0</v>
      </c>
      <c r="AG1059" s="1">
        <f t="shared" si="386"/>
        <v>61</v>
      </c>
      <c r="AH1059" s="1">
        <f t="shared" si="387"/>
        <v>0</v>
      </c>
      <c r="AI1059" s="1">
        <f t="shared" si="388"/>
        <v>0</v>
      </c>
      <c r="AJ1059" s="3">
        <f t="shared" si="389"/>
        <v>0.16666666666666666</v>
      </c>
      <c r="AK1059" s="3">
        <f t="shared" si="390"/>
        <v>0.22181707687632937</v>
      </c>
      <c r="AL1059" s="3">
        <f t="shared" si="391"/>
        <v>3.9927073837739289</v>
      </c>
      <c r="AM1059" s="3">
        <f t="shared" si="392"/>
        <v>5.9890610756608931</v>
      </c>
      <c r="AN1059" s="3">
        <f t="shared" si="393"/>
        <v>0</v>
      </c>
      <c r="AO1059" s="3">
        <f t="shared" si="394"/>
        <v>5.9890610756608931</v>
      </c>
      <c r="AP1059" s="1" t="str">
        <f>INDEX({"EAD";"EAD";"EAD";"EAD MOOC";"EAD";"EAD";"EAD FP";"EAD";"PRESENCIAL";"PRESENCIAL";"PRESENCIAL";"PRESENCIAL"}, MATCH(CONCATENATE(E1059, ".", F1059),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60" spans="1:42" x14ac:dyDescent="0.25">
      <c r="A1060" s="1" t="s">
        <v>27</v>
      </c>
      <c r="B1060" s="1" t="s">
        <v>56</v>
      </c>
      <c r="C1060" s="1" t="s">
        <v>29</v>
      </c>
      <c r="D1060" s="1" t="s">
        <v>57</v>
      </c>
      <c r="E1060" s="1" t="s">
        <v>120</v>
      </c>
      <c r="F1060" s="1" t="s">
        <v>21</v>
      </c>
      <c r="G1060" s="1" t="s">
        <v>128</v>
      </c>
      <c r="H1060" s="1" t="s">
        <v>218</v>
      </c>
      <c r="I1060" s="1" t="s">
        <v>124</v>
      </c>
      <c r="J1060" s="1" t="s">
        <v>125</v>
      </c>
      <c r="K1060" s="1" t="s">
        <v>130</v>
      </c>
      <c r="L1060" s="1">
        <v>2761046</v>
      </c>
      <c r="M1060" s="1" t="s">
        <v>1230</v>
      </c>
      <c r="N1060" s="5">
        <f t="shared" si="398"/>
        <v>44256</v>
      </c>
      <c r="O1060" s="5">
        <f t="shared" si="399"/>
        <v>45352</v>
      </c>
      <c r="P1060" s="5">
        <f t="shared" si="375"/>
        <v>46447</v>
      </c>
      <c r="Q1060" s="1">
        <v>3186</v>
      </c>
      <c r="R1060" s="1">
        <v>800</v>
      </c>
      <c r="S1060" s="1">
        <f t="shared" si="376"/>
        <v>3000</v>
      </c>
      <c r="T1060" s="1">
        <v>1.5</v>
      </c>
      <c r="U1060" s="1" t="str">
        <f t="shared" si="377"/>
        <v>SIM</v>
      </c>
      <c r="V1060" s="1">
        <f t="shared" si="378"/>
        <v>1097</v>
      </c>
      <c r="W1060" s="4">
        <f t="shared" si="379"/>
        <v>2.7347310847766635</v>
      </c>
      <c r="X1060" s="4">
        <f t="shared" si="380"/>
        <v>998.17684594348214</v>
      </c>
      <c r="Y1060" s="4">
        <f t="shared" si="381"/>
        <v>1.2477210574293527</v>
      </c>
      <c r="AB1060" s="5">
        <f t="shared" si="382"/>
        <v>45292</v>
      </c>
      <c r="AC1060" s="5">
        <f t="shared" si="383"/>
        <v>45657</v>
      </c>
      <c r="AD1060" s="1">
        <v>36</v>
      </c>
      <c r="AE1060" s="1">
        <f t="shared" si="384"/>
        <v>0</v>
      </c>
      <c r="AF1060" s="1">
        <f t="shared" si="385"/>
        <v>0</v>
      </c>
      <c r="AG1060" s="1">
        <f t="shared" si="386"/>
        <v>61</v>
      </c>
      <c r="AH1060" s="1">
        <f t="shared" si="387"/>
        <v>0</v>
      </c>
      <c r="AI1060" s="1">
        <f t="shared" si="388"/>
        <v>0</v>
      </c>
      <c r="AJ1060" s="3">
        <f t="shared" si="389"/>
        <v>0.16666666666666666</v>
      </c>
      <c r="AK1060" s="3">
        <f t="shared" si="390"/>
        <v>0.20795350957155878</v>
      </c>
      <c r="AL1060" s="3">
        <f t="shared" si="391"/>
        <v>7.4863263445761161</v>
      </c>
      <c r="AM1060" s="3">
        <f t="shared" si="392"/>
        <v>11.229489516864174</v>
      </c>
      <c r="AN1060" s="3">
        <f t="shared" si="393"/>
        <v>0</v>
      </c>
      <c r="AO1060" s="3">
        <f t="shared" si="394"/>
        <v>11.229489516864174</v>
      </c>
      <c r="AP1060" s="1" t="str">
        <f>INDEX({"EAD";"EAD";"EAD";"EAD MOOC";"EAD";"EAD";"EAD FP";"EAD";"PRESENCIAL";"PRESENCIAL";"PRESENCIAL";"PRESENCIAL"}, MATCH(CONCATENATE(E1060, ".", F1060),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61" spans="1:42" x14ac:dyDescent="0.25">
      <c r="A1061" s="1" t="s">
        <v>27</v>
      </c>
      <c r="B1061" s="1" t="s">
        <v>56</v>
      </c>
      <c r="C1061" s="1" t="s">
        <v>29</v>
      </c>
      <c r="D1061" s="1" t="s">
        <v>57</v>
      </c>
      <c r="E1061" s="1" t="s">
        <v>120</v>
      </c>
      <c r="F1061" s="1" t="s">
        <v>21</v>
      </c>
      <c r="G1061" s="1" t="s">
        <v>128</v>
      </c>
      <c r="H1061" s="1" t="s">
        <v>890</v>
      </c>
      <c r="I1061" s="1" t="s">
        <v>191</v>
      </c>
      <c r="J1061" s="1" t="s">
        <v>125</v>
      </c>
      <c r="K1061" s="1" t="s">
        <v>130</v>
      </c>
      <c r="L1061" s="1">
        <v>2761048</v>
      </c>
      <c r="M1061" s="1" t="s">
        <v>1231</v>
      </c>
      <c r="N1061" s="5">
        <f t="shared" si="398"/>
        <v>44256</v>
      </c>
      <c r="O1061" s="5">
        <f t="shared" si="399"/>
        <v>45352</v>
      </c>
      <c r="P1061" s="5">
        <f t="shared" si="375"/>
        <v>46447</v>
      </c>
      <c r="Q1061" s="1">
        <v>3424</v>
      </c>
      <c r="R1061" s="1">
        <v>1200</v>
      </c>
      <c r="S1061" s="1">
        <f t="shared" si="376"/>
        <v>3200</v>
      </c>
      <c r="T1061" s="1">
        <v>2.5</v>
      </c>
      <c r="U1061" s="1" t="str">
        <f t="shared" si="377"/>
        <v>SIM</v>
      </c>
      <c r="V1061" s="1">
        <f t="shared" si="378"/>
        <v>1097</v>
      </c>
      <c r="W1061" s="4">
        <f t="shared" si="379"/>
        <v>2.917046490428441</v>
      </c>
      <c r="X1061" s="4">
        <f t="shared" si="380"/>
        <v>1064.721969006381</v>
      </c>
      <c r="Y1061" s="4">
        <f t="shared" si="381"/>
        <v>1.3309024612579763</v>
      </c>
      <c r="AB1061" s="5">
        <f t="shared" si="382"/>
        <v>45292</v>
      </c>
      <c r="AC1061" s="5">
        <f t="shared" si="383"/>
        <v>45657</v>
      </c>
      <c r="AD1061" s="1">
        <v>24</v>
      </c>
      <c r="AE1061" s="1">
        <f t="shared" si="384"/>
        <v>0</v>
      </c>
      <c r="AF1061" s="1">
        <f t="shared" si="385"/>
        <v>0</v>
      </c>
      <c r="AG1061" s="1">
        <f t="shared" si="386"/>
        <v>61</v>
      </c>
      <c r="AH1061" s="1">
        <f t="shared" si="387"/>
        <v>0</v>
      </c>
      <c r="AI1061" s="1">
        <f t="shared" si="388"/>
        <v>0</v>
      </c>
      <c r="AJ1061" s="3">
        <f t="shared" si="389"/>
        <v>0.16666666666666666</v>
      </c>
      <c r="AK1061" s="3">
        <f t="shared" si="390"/>
        <v>0.22181707687632937</v>
      </c>
      <c r="AL1061" s="3">
        <f t="shared" si="391"/>
        <v>5.3236098450319052</v>
      </c>
      <c r="AM1061" s="3">
        <f t="shared" si="392"/>
        <v>13.309024612579762</v>
      </c>
      <c r="AN1061" s="3">
        <f t="shared" si="393"/>
        <v>0</v>
      </c>
      <c r="AO1061" s="3">
        <f t="shared" si="394"/>
        <v>13.309024612579762</v>
      </c>
      <c r="AP1061" s="1" t="str">
        <f>INDEX({"EAD";"EAD";"EAD";"EAD MOOC";"EAD";"EAD";"EAD FP";"EAD";"PRESENCIAL";"PRESENCIAL";"PRESENCIAL";"PRESENCIAL"}, MATCH(CONCATENATE(E1061, ".", F1061),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62" spans="1:42" x14ac:dyDescent="0.25">
      <c r="A1062" s="1" t="s">
        <v>27</v>
      </c>
      <c r="B1062" s="1" t="s">
        <v>56</v>
      </c>
      <c r="C1062" s="1" t="s">
        <v>29</v>
      </c>
      <c r="D1062" s="1" t="s">
        <v>57</v>
      </c>
      <c r="E1062" s="1" t="s">
        <v>120</v>
      </c>
      <c r="F1062" s="1" t="s">
        <v>21</v>
      </c>
      <c r="G1062" s="1" t="s">
        <v>128</v>
      </c>
      <c r="H1062" s="1" t="s">
        <v>129</v>
      </c>
      <c r="I1062" s="1" t="s">
        <v>124</v>
      </c>
      <c r="J1062" s="1" t="s">
        <v>125</v>
      </c>
      <c r="K1062" s="1" t="s">
        <v>316</v>
      </c>
      <c r="L1062" s="1">
        <v>2761051</v>
      </c>
      <c r="M1062" s="1" t="s">
        <v>1232</v>
      </c>
      <c r="N1062" s="5">
        <f t="shared" si="398"/>
        <v>44256</v>
      </c>
      <c r="O1062" s="5">
        <f t="shared" si="399"/>
        <v>45352</v>
      </c>
      <c r="P1062" s="5">
        <f t="shared" si="375"/>
        <v>46447</v>
      </c>
      <c r="Q1062" s="1">
        <v>2444</v>
      </c>
      <c r="R1062" s="1">
        <v>800</v>
      </c>
      <c r="S1062" s="1">
        <f t="shared" si="376"/>
        <v>2400</v>
      </c>
      <c r="T1062" s="1">
        <v>2.5</v>
      </c>
      <c r="U1062" s="1" t="str">
        <f t="shared" si="377"/>
        <v>SIM</v>
      </c>
      <c r="V1062" s="1">
        <f t="shared" si="378"/>
        <v>1097</v>
      </c>
      <c r="W1062" s="4">
        <f t="shared" si="379"/>
        <v>2.187784867821331</v>
      </c>
      <c r="X1062" s="4">
        <f t="shared" si="380"/>
        <v>798.54147675478578</v>
      </c>
      <c r="Y1062" s="4">
        <f t="shared" si="381"/>
        <v>0.99817684594348222</v>
      </c>
      <c r="AB1062" s="5">
        <f t="shared" si="382"/>
        <v>45292</v>
      </c>
      <c r="AC1062" s="5">
        <f t="shared" si="383"/>
        <v>45657</v>
      </c>
      <c r="AD1062" s="1">
        <v>12</v>
      </c>
      <c r="AE1062" s="1">
        <f t="shared" si="384"/>
        <v>0</v>
      </c>
      <c r="AF1062" s="1">
        <f t="shared" si="385"/>
        <v>0</v>
      </c>
      <c r="AG1062" s="1">
        <f t="shared" si="386"/>
        <v>61</v>
      </c>
      <c r="AH1062" s="1">
        <f t="shared" si="387"/>
        <v>0</v>
      </c>
      <c r="AI1062" s="1">
        <f t="shared" si="388"/>
        <v>0</v>
      </c>
      <c r="AJ1062" s="3">
        <f t="shared" si="389"/>
        <v>0.16666666666666666</v>
      </c>
      <c r="AK1062" s="3">
        <f t="shared" si="390"/>
        <v>0.16636280765724704</v>
      </c>
      <c r="AL1062" s="3">
        <f t="shared" si="391"/>
        <v>1.9963536918869644</v>
      </c>
      <c r="AM1062" s="3">
        <f t="shared" si="392"/>
        <v>4.9908842297174107</v>
      </c>
      <c r="AN1062" s="3">
        <f t="shared" si="393"/>
        <v>0</v>
      </c>
      <c r="AO1062" s="3">
        <f t="shared" si="394"/>
        <v>4.9908842297174107</v>
      </c>
      <c r="AP1062" s="1" t="str">
        <f>INDEX({"EAD";"EAD";"EAD";"EAD MOOC";"EAD";"EAD";"EAD FP";"EAD";"PRESENCIAL";"PRESENCIAL";"PRESENCIAL";"PRESENCIAL"}, MATCH(CONCATENATE(E1062, ".", F1062),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63" spans="1:42" x14ac:dyDescent="0.25">
      <c r="A1063" s="1" t="s">
        <v>27</v>
      </c>
      <c r="B1063" s="1" t="s">
        <v>56</v>
      </c>
      <c r="C1063" s="1" t="s">
        <v>29</v>
      </c>
      <c r="D1063" s="1" t="s">
        <v>57</v>
      </c>
      <c r="E1063" s="1" t="s">
        <v>120</v>
      </c>
      <c r="F1063" s="1" t="s">
        <v>21</v>
      </c>
      <c r="G1063" s="1" t="s">
        <v>140</v>
      </c>
      <c r="H1063" s="1" t="s">
        <v>1146</v>
      </c>
      <c r="I1063" s="1" t="s">
        <v>209</v>
      </c>
      <c r="J1063" s="1" t="s">
        <v>125</v>
      </c>
      <c r="K1063" s="1" t="s">
        <v>109</v>
      </c>
      <c r="L1063" s="1">
        <v>2761053</v>
      </c>
      <c r="M1063" s="1" t="s">
        <v>1233</v>
      </c>
      <c r="N1063" s="5">
        <f t="shared" si="398"/>
        <v>44256</v>
      </c>
      <c r="O1063" s="5">
        <f t="shared" si="399"/>
        <v>45352</v>
      </c>
      <c r="P1063" s="5">
        <f t="shared" si="375"/>
        <v>46447</v>
      </c>
      <c r="Q1063" s="1">
        <v>2140</v>
      </c>
      <c r="R1063" s="1">
        <v>2000</v>
      </c>
      <c r="S1063" s="1">
        <f t="shared" si="376"/>
        <v>2000</v>
      </c>
      <c r="T1063" s="1">
        <v>1.5</v>
      </c>
      <c r="U1063" s="1" t="str">
        <f t="shared" si="377"/>
        <v>SIM</v>
      </c>
      <c r="V1063" s="1">
        <f t="shared" si="378"/>
        <v>1097</v>
      </c>
      <c r="W1063" s="4">
        <f t="shared" si="379"/>
        <v>1.8231540565177757</v>
      </c>
      <c r="X1063" s="4">
        <f t="shared" si="380"/>
        <v>665.45123062898813</v>
      </c>
      <c r="Y1063" s="4">
        <f t="shared" si="381"/>
        <v>0.83181403828623512</v>
      </c>
      <c r="AB1063" s="5">
        <f t="shared" si="382"/>
        <v>45292</v>
      </c>
      <c r="AC1063" s="5">
        <f t="shared" si="383"/>
        <v>45657</v>
      </c>
      <c r="AD1063" s="1">
        <v>35</v>
      </c>
      <c r="AE1063" s="1">
        <f t="shared" si="384"/>
        <v>0</v>
      </c>
      <c r="AF1063" s="1">
        <f t="shared" si="385"/>
        <v>0</v>
      </c>
      <c r="AG1063" s="1">
        <f t="shared" si="386"/>
        <v>61</v>
      </c>
      <c r="AH1063" s="1">
        <f t="shared" si="387"/>
        <v>0</v>
      </c>
      <c r="AI1063" s="1">
        <f t="shared" si="388"/>
        <v>0</v>
      </c>
      <c r="AJ1063" s="3">
        <f t="shared" si="389"/>
        <v>0.16666666666666666</v>
      </c>
      <c r="AK1063" s="3">
        <f t="shared" si="390"/>
        <v>0.13863567304770585</v>
      </c>
      <c r="AL1063" s="3">
        <f t="shared" si="391"/>
        <v>4.8522485566697053</v>
      </c>
      <c r="AM1063" s="3">
        <f t="shared" si="392"/>
        <v>7.278372835004558</v>
      </c>
      <c r="AN1063" s="3">
        <f t="shared" si="393"/>
        <v>0</v>
      </c>
      <c r="AO1063" s="3">
        <f t="shared" si="394"/>
        <v>7.278372835004558</v>
      </c>
      <c r="AP1063" s="1" t="str">
        <f>INDEX({"EAD";"EAD";"EAD";"EAD MOOC";"EAD";"EAD";"EAD FP";"EAD";"PRESENCIAL";"PRESENCIAL";"PRESENCIAL";"PRESENCIAL"}, MATCH(CONCATENATE(E1063, ".", F1063),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64" spans="1:42" x14ac:dyDescent="0.25">
      <c r="A1064" s="1" t="s">
        <v>27</v>
      </c>
      <c r="B1064" s="1" t="s">
        <v>56</v>
      </c>
      <c r="C1064" s="1" t="s">
        <v>29</v>
      </c>
      <c r="D1064" s="1" t="s">
        <v>57</v>
      </c>
      <c r="E1064" s="1" t="s">
        <v>120</v>
      </c>
      <c r="F1064" s="1" t="s">
        <v>21</v>
      </c>
      <c r="G1064" s="1" t="s">
        <v>278</v>
      </c>
      <c r="H1064" s="1" t="s">
        <v>1017</v>
      </c>
      <c r="I1064" s="1" t="s">
        <v>172</v>
      </c>
      <c r="J1064" s="1" t="s">
        <v>125</v>
      </c>
      <c r="K1064" s="1" t="s">
        <v>109</v>
      </c>
      <c r="L1064" s="1">
        <v>2761054</v>
      </c>
      <c r="M1064" s="1" t="s">
        <v>1234</v>
      </c>
      <c r="N1064" s="5">
        <f t="shared" si="398"/>
        <v>44256</v>
      </c>
      <c r="O1064" s="5">
        <f>DATE(2025,2,27)</f>
        <v>45715</v>
      </c>
      <c r="P1064" s="5">
        <f t="shared" si="375"/>
        <v>46810</v>
      </c>
      <c r="Q1064" s="1">
        <v>3200</v>
      </c>
      <c r="R1064" s="1">
        <v>3200</v>
      </c>
      <c r="S1064" s="1">
        <f t="shared" si="376"/>
        <v>3200</v>
      </c>
      <c r="T1064" s="1">
        <v>2.5</v>
      </c>
      <c r="U1064" s="1" t="str">
        <f t="shared" si="377"/>
        <v>SIM</v>
      </c>
      <c r="V1064" s="1">
        <f t="shared" si="378"/>
        <v>1460</v>
      </c>
      <c r="W1064" s="4">
        <f t="shared" si="379"/>
        <v>2.1917808219178081</v>
      </c>
      <c r="X1064" s="4">
        <f t="shared" si="380"/>
        <v>800</v>
      </c>
      <c r="Y1064" s="4">
        <f t="shared" si="381"/>
        <v>1</v>
      </c>
      <c r="AB1064" s="5">
        <f t="shared" si="382"/>
        <v>45292</v>
      </c>
      <c r="AC1064" s="5">
        <f t="shared" si="383"/>
        <v>45657</v>
      </c>
      <c r="AD1064" s="1">
        <v>29</v>
      </c>
      <c r="AE1064" s="1">
        <f t="shared" si="384"/>
        <v>366</v>
      </c>
      <c r="AF1064" s="1">
        <f t="shared" si="385"/>
        <v>0</v>
      </c>
      <c r="AG1064" s="1">
        <f t="shared" si="386"/>
        <v>0</v>
      </c>
      <c r="AH1064" s="1">
        <f t="shared" si="387"/>
        <v>0</v>
      </c>
      <c r="AI1064" s="1">
        <f t="shared" si="388"/>
        <v>0</v>
      </c>
      <c r="AJ1064" s="3">
        <f t="shared" si="389"/>
        <v>1</v>
      </c>
      <c r="AK1064" s="3">
        <f t="shared" si="390"/>
        <v>1</v>
      </c>
      <c r="AL1064" s="3">
        <f t="shared" si="391"/>
        <v>29</v>
      </c>
      <c r="AM1064" s="3">
        <f t="shared" si="392"/>
        <v>72.5</v>
      </c>
      <c r="AN1064" s="3">
        <f t="shared" si="393"/>
        <v>0</v>
      </c>
      <c r="AO1064" s="3">
        <f t="shared" si="394"/>
        <v>72.5</v>
      </c>
      <c r="AP1064" s="1" t="str">
        <f>INDEX({"EAD";"EAD";"EAD";"EAD MOOC";"EAD";"EAD";"EAD FP";"EAD";"PRESENCIAL";"PRESENCIAL";"PRESENCIAL";"PRESENCIAL"}, MATCH(CONCATENATE(E1064, ".", F1064),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65" spans="1:42" x14ac:dyDescent="0.25">
      <c r="A1065" s="1" t="s">
        <v>27</v>
      </c>
      <c r="B1065" s="1" t="s">
        <v>56</v>
      </c>
      <c r="C1065" s="1" t="s">
        <v>29</v>
      </c>
      <c r="D1065" s="1" t="s">
        <v>57</v>
      </c>
      <c r="E1065" s="1" t="s">
        <v>120</v>
      </c>
      <c r="F1065" s="1" t="s">
        <v>21</v>
      </c>
      <c r="G1065" s="1" t="s">
        <v>128</v>
      </c>
      <c r="H1065" s="1" t="s">
        <v>890</v>
      </c>
      <c r="I1065" s="1" t="s">
        <v>191</v>
      </c>
      <c r="J1065" s="1" t="s">
        <v>125</v>
      </c>
      <c r="K1065" s="1" t="s">
        <v>163</v>
      </c>
      <c r="L1065" s="1">
        <v>2799525</v>
      </c>
      <c r="M1065" s="1" t="s">
        <v>1235</v>
      </c>
      <c r="N1065" s="5">
        <f>DATE(2021,8,2)</f>
        <v>44410</v>
      </c>
      <c r="O1065" s="5">
        <f>DATE(2023,2,2)</f>
        <v>44959</v>
      </c>
      <c r="P1065" s="5">
        <f t="shared" si="375"/>
        <v>46054</v>
      </c>
      <c r="Q1065" s="1">
        <v>1207</v>
      </c>
      <c r="R1065" s="1">
        <v>1200</v>
      </c>
      <c r="S1065" s="1">
        <f t="shared" si="376"/>
        <v>1200</v>
      </c>
      <c r="T1065" s="1">
        <v>2.5</v>
      </c>
      <c r="U1065" s="1" t="str">
        <f t="shared" si="377"/>
        <v>SIM</v>
      </c>
      <c r="V1065" s="1">
        <f t="shared" si="378"/>
        <v>550</v>
      </c>
      <c r="W1065" s="4">
        <f t="shared" si="379"/>
        <v>2.1818181818181817</v>
      </c>
      <c r="X1065" s="4">
        <f t="shared" si="380"/>
        <v>796.36363636363626</v>
      </c>
      <c r="Y1065" s="4">
        <f t="shared" si="381"/>
        <v>0.99545454545454537</v>
      </c>
      <c r="AB1065" s="5">
        <f t="shared" si="382"/>
        <v>45292</v>
      </c>
      <c r="AC1065" s="5">
        <f t="shared" si="383"/>
        <v>45657</v>
      </c>
      <c r="AD1065" s="1">
        <v>21</v>
      </c>
      <c r="AE1065" s="1">
        <f t="shared" si="384"/>
        <v>0</v>
      </c>
      <c r="AF1065" s="1">
        <f t="shared" si="385"/>
        <v>0</v>
      </c>
      <c r="AG1065" s="1">
        <f t="shared" si="386"/>
        <v>0</v>
      </c>
      <c r="AH1065" s="1">
        <f t="shared" si="387"/>
        <v>0</v>
      </c>
      <c r="AI1065" s="1">
        <f t="shared" si="388"/>
        <v>183</v>
      </c>
      <c r="AJ1065" s="3">
        <f t="shared" si="389"/>
        <v>0.5</v>
      </c>
      <c r="AK1065" s="3">
        <f t="shared" si="390"/>
        <v>0.49772727272727268</v>
      </c>
      <c r="AL1065" s="3">
        <f t="shared" si="391"/>
        <v>5.2261363636363631</v>
      </c>
      <c r="AM1065" s="3">
        <f t="shared" si="392"/>
        <v>13.065340909090908</v>
      </c>
      <c r="AN1065" s="3">
        <f t="shared" si="393"/>
        <v>0</v>
      </c>
      <c r="AO1065" s="3">
        <f t="shared" si="394"/>
        <v>13.065340909090908</v>
      </c>
      <c r="AP1065" s="1" t="str">
        <f>INDEX({"EAD";"EAD";"EAD";"EAD MOOC";"EAD";"EAD";"EAD FP";"EAD";"PRESENCIAL";"PRESENCIAL";"PRESENCIAL";"PRESENCIAL"}, MATCH(CONCATENATE(E1065, ".", F1065),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66" spans="1:42" x14ac:dyDescent="0.25">
      <c r="A1066" s="1" t="s">
        <v>27</v>
      </c>
      <c r="B1066" s="1" t="s">
        <v>56</v>
      </c>
      <c r="C1066" s="1" t="s">
        <v>29</v>
      </c>
      <c r="D1066" s="1" t="s">
        <v>57</v>
      </c>
      <c r="E1066" s="1" t="s">
        <v>120</v>
      </c>
      <c r="F1066" s="1" t="s">
        <v>21</v>
      </c>
      <c r="G1066" s="1" t="s">
        <v>128</v>
      </c>
      <c r="H1066" s="1" t="s">
        <v>890</v>
      </c>
      <c r="I1066" s="1" t="s">
        <v>191</v>
      </c>
      <c r="J1066" s="1" t="s">
        <v>125</v>
      </c>
      <c r="K1066" s="1" t="s">
        <v>130</v>
      </c>
      <c r="L1066" s="1">
        <v>2850383</v>
      </c>
      <c r="M1066" s="1" t="s">
        <v>1236</v>
      </c>
      <c r="N1066" s="5">
        <f>DATE(2022,2,1)</f>
        <v>44593</v>
      </c>
      <c r="O1066" s="5">
        <f>DATE(2025,3,31)</f>
        <v>45747</v>
      </c>
      <c r="P1066" s="5">
        <f t="shared" si="375"/>
        <v>46842</v>
      </c>
      <c r="Q1066" s="1">
        <v>3424</v>
      </c>
      <c r="R1066" s="1">
        <v>1200</v>
      </c>
      <c r="S1066" s="1">
        <f t="shared" si="376"/>
        <v>3200</v>
      </c>
      <c r="T1066" s="1">
        <v>2.5</v>
      </c>
      <c r="U1066" s="1" t="str">
        <f t="shared" si="377"/>
        <v>SIM</v>
      </c>
      <c r="V1066" s="1">
        <f t="shared" si="378"/>
        <v>1155</v>
      </c>
      <c r="W1066" s="4">
        <f t="shared" si="379"/>
        <v>2.7705627705627704</v>
      </c>
      <c r="X1066" s="4">
        <f t="shared" si="380"/>
        <v>1011.2554112554112</v>
      </c>
      <c r="Y1066" s="4">
        <f t="shared" si="381"/>
        <v>1.2640692640692641</v>
      </c>
      <c r="AB1066" s="5">
        <f t="shared" si="382"/>
        <v>45292</v>
      </c>
      <c r="AC1066" s="5">
        <f t="shared" si="383"/>
        <v>45657</v>
      </c>
      <c r="AD1066" s="1">
        <v>51</v>
      </c>
      <c r="AE1066" s="1">
        <f t="shared" si="384"/>
        <v>366</v>
      </c>
      <c r="AF1066" s="1">
        <f t="shared" si="385"/>
        <v>0</v>
      </c>
      <c r="AG1066" s="1">
        <f t="shared" si="386"/>
        <v>0</v>
      </c>
      <c r="AH1066" s="1">
        <f t="shared" si="387"/>
        <v>0</v>
      </c>
      <c r="AI1066" s="1">
        <f t="shared" si="388"/>
        <v>0</v>
      </c>
      <c r="AJ1066" s="3">
        <f t="shared" si="389"/>
        <v>1</v>
      </c>
      <c r="AK1066" s="3">
        <f t="shared" si="390"/>
        <v>1.2640692640692641</v>
      </c>
      <c r="AL1066" s="3">
        <f t="shared" si="391"/>
        <v>64.467532467532465</v>
      </c>
      <c r="AM1066" s="3">
        <f t="shared" si="392"/>
        <v>161.16883116883116</v>
      </c>
      <c r="AN1066" s="3">
        <f t="shared" si="393"/>
        <v>0</v>
      </c>
      <c r="AO1066" s="3">
        <f t="shared" si="394"/>
        <v>161.16883116883116</v>
      </c>
      <c r="AP1066" s="1" t="str">
        <f>INDEX({"EAD";"EAD";"EAD";"EAD MOOC";"EAD";"EAD";"EAD FP";"EAD";"PRESENCIAL";"PRESENCIAL";"PRESENCIAL";"PRESENCIAL"}, MATCH(CONCATENATE(E1066, ".", F1066),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67" spans="1:42" x14ac:dyDescent="0.25">
      <c r="A1067" s="1" t="s">
        <v>27</v>
      </c>
      <c r="B1067" s="1" t="s">
        <v>56</v>
      </c>
      <c r="C1067" s="1" t="s">
        <v>29</v>
      </c>
      <c r="D1067" s="1" t="s">
        <v>57</v>
      </c>
      <c r="E1067" s="1" t="s">
        <v>120</v>
      </c>
      <c r="F1067" s="1" t="s">
        <v>21</v>
      </c>
      <c r="G1067" s="1" t="s">
        <v>128</v>
      </c>
      <c r="H1067" s="1" t="s">
        <v>218</v>
      </c>
      <c r="I1067" s="1" t="s">
        <v>124</v>
      </c>
      <c r="J1067" s="1" t="s">
        <v>125</v>
      </c>
      <c r="K1067" s="1" t="s">
        <v>130</v>
      </c>
      <c r="L1067" s="1">
        <v>2846526</v>
      </c>
      <c r="M1067" s="1" t="s">
        <v>1237</v>
      </c>
      <c r="N1067" s="5">
        <f>DATE(2022,2,10)</f>
        <v>44602</v>
      </c>
      <c r="O1067" s="5">
        <f>DATE(2025,2,10)</f>
        <v>45698</v>
      </c>
      <c r="P1067" s="5">
        <f t="shared" si="375"/>
        <v>46793</v>
      </c>
      <c r="Q1067" s="1">
        <v>3186</v>
      </c>
      <c r="R1067" s="1">
        <v>800</v>
      </c>
      <c r="S1067" s="1">
        <f t="shared" si="376"/>
        <v>3000</v>
      </c>
      <c r="T1067" s="1">
        <v>1.5</v>
      </c>
      <c r="U1067" s="1" t="str">
        <f t="shared" si="377"/>
        <v>SIM</v>
      </c>
      <c r="V1067" s="1">
        <f t="shared" si="378"/>
        <v>1097</v>
      </c>
      <c r="W1067" s="4">
        <f t="shared" si="379"/>
        <v>2.7347310847766635</v>
      </c>
      <c r="X1067" s="4">
        <f t="shared" si="380"/>
        <v>998.17684594348214</v>
      </c>
      <c r="Y1067" s="4">
        <f t="shared" si="381"/>
        <v>1.2477210574293527</v>
      </c>
      <c r="AB1067" s="5">
        <f t="shared" si="382"/>
        <v>45292</v>
      </c>
      <c r="AC1067" s="5">
        <f t="shared" si="383"/>
        <v>45657</v>
      </c>
      <c r="AD1067" s="1">
        <v>30</v>
      </c>
      <c r="AE1067" s="1">
        <f t="shared" si="384"/>
        <v>366</v>
      </c>
      <c r="AF1067" s="1">
        <f t="shared" si="385"/>
        <v>0</v>
      </c>
      <c r="AG1067" s="1">
        <f t="shared" si="386"/>
        <v>0</v>
      </c>
      <c r="AH1067" s="1">
        <f t="shared" si="387"/>
        <v>0</v>
      </c>
      <c r="AI1067" s="1">
        <f t="shared" si="388"/>
        <v>0</v>
      </c>
      <c r="AJ1067" s="3">
        <f t="shared" si="389"/>
        <v>1</v>
      </c>
      <c r="AK1067" s="3">
        <f t="shared" si="390"/>
        <v>1.2477210574293527</v>
      </c>
      <c r="AL1067" s="3">
        <f t="shared" si="391"/>
        <v>37.431631722880581</v>
      </c>
      <c r="AM1067" s="3">
        <f t="shared" si="392"/>
        <v>56.147447584320872</v>
      </c>
      <c r="AN1067" s="3">
        <f t="shared" si="393"/>
        <v>0</v>
      </c>
      <c r="AO1067" s="3">
        <f t="shared" si="394"/>
        <v>56.147447584320872</v>
      </c>
      <c r="AP1067" s="1" t="str">
        <f>INDEX({"EAD";"EAD";"EAD";"EAD MOOC";"EAD";"EAD";"EAD FP";"EAD";"PRESENCIAL";"PRESENCIAL";"PRESENCIAL";"PRESENCIAL"}, MATCH(CONCATENATE(E1067, ".", F1067),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68" spans="1:42" x14ac:dyDescent="0.25">
      <c r="A1068" s="1" t="s">
        <v>27</v>
      </c>
      <c r="B1068" s="1" t="s">
        <v>56</v>
      </c>
      <c r="C1068" s="1" t="s">
        <v>29</v>
      </c>
      <c r="D1068" s="1" t="s">
        <v>57</v>
      </c>
      <c r="E1068" s="1" t="s">
        <v>120</v>
      </c>
      <c r="F1068" s="1" t="s">
        <v>21</v>
      </c>
      <c r="G1068" s="1" t="s">
        <v>128</v>
      </c>
      <c r="H1068" s="1" t="s">
        <v>227</v>
      </c>
      <c r="I1068" s="1" t="s">
        <v>228</v>
      </c>
      <c r="J1068" s="1" t="s">
        <v>125</v>
      </c>
      <c r="K1068" s="1" t="s">
        <v>130</v>
      </c>
      <c r="L1068" s="1">
        <v>2847431</v>
      </c>
      <c r="M1068" s="1" t="s">
        <v>1238</v>
      </c>
      <c r="N1068" s="5">
        <f>DATE(2022,2,10)</f>
        <v>44602</v>
      </c>
      <c r="O1068" s="5">
        <f>DATE(2025,3,10)</f>
        <v>45726</v>
      </c>
      <c r="P1068" s="5">
        <f t="shared" si="375"/>
        <v>46821</v>
      </c>
      <c r="Q1068" s="1">
        <v>3424</v>
      </c>
      <c r="R1068" s="1">
        <v>1200</v>
      </c>
      <c r="S1068" s="1">
        <f t="shared" si="376"/>
        <v>3200</v>
      </c>
      <c r="T1068" s="1">
        <v>2.5</v>
      </c>
      <c r="U1068" s="1" t="str">
        <f t="shared" si="377"/>
        <v>SIM</v>
      </c>
      <c r="V1068" s="1">
        <f t="shared" si="378"/>
        <v>1125</v>
      </c>
      <c r="W1068" s="4">
        <f t="shared" si="379"/>
        <v>2.8444444444444446</v>
      </c>
      <c r="X1068" s="4">
        <f t="shared" si="380"/>
        <v>1038.2222222222222</v>
      </c>
      <c r="Y1068" s="4">
        <f t="shared" si="381"/>
        <v>1.2977777777777777</v>
      </c>
      <c r="AB1068" s="5">
        <f t="shared" si="382"/>
        <v>45292</v>
      </c>
      <c r="AC1068" s="5">
        <f t="shared" si="383"/>
        <v>45657</v>
      </c>
      <c r="AD1068" s="1">
        <v>27</v>
      </c>
      <c r="AE1068" s="1">
        <f t="shared" si="384"/>
        <v>366</v>
      </c>
      <c r="AF1068" s="1">
        <f t="shared" si="385"/>
        <v>0</v>
      </c>
      <c r="AG1068" s="1">
        <f t="shared" si="386"/>
        <v>0</v>
      </c>
      <c r="AH1068" s="1">
        <f t="shared" si="387"/>
        <v>0</v>
      </c>
      <c r="AI1068" s="1">
        <f t="shared" si="388"/>
        <v>0</v>
      </c>
      <c r="AJ1068" s="3">
        <f t="shared" si="389"/>
        <v>1</v>
      </c>
      <c r="AK1068" s="3">
        <f t="shared" si="390"/>
        <v>1.2977777777777777</v>
      </c>
      <c r="AL1068" s="3">
        <f t="shared" si="391"/>
        <v>35.04</v>
      </c>
      <c r="AM1068" s="3">
        <f t="shared" si="392"/>
        <v>87.6</v>
      </c>
      <c r="AN1068" s="3">
        <f t="shared" si="393"/>
        <v>0</v>
      </c>
      <c r="AO1068" s="3">
        <f t="shared" si="394"/>
        <v>87.6</v>
      </c>
      <c r="AP1068" s="1" t="str">
        <f>INDEX({"EAD";"EAD";"EAD";"EAD MOOC";"EAD";"EAD";"EAD FP";"EAD";"PRESENCIAL";"PRESENCIAL";"PRESENCIAL";"PRESENCIAL"}, MATCH(CONCATENATE(E1068, ".", F1068),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69" spans="1:42" x14ac:dyDescent="0.25">
      <c r="A1069" s="1" t="s">
        <v>27</v>
      </c>
      <c r="B1069" s="1" t="s">
        <v>56</v>
      </c>
      <c r="C1069" s="1" t="s">
        <v>29</v>
      </c>
      <c r="D1069" s="1" t="s">
        <v>57</v>
      </c>
      <c r="E1069" s="1" t="s">
        <v>120</v>
      </c>
      <c r="F1069" s="1" t="s">
        <v>21</v>
      </c>
      <c r="G1069" s="1" t="s">
        <v>128</v>
      </c>
      <c r="H1069" s="1" t="s">
        <v>208</v>
      </c>
      <c r="I1069" s="1" t="s">
        <v>209</v>
      </c>
      <c r="J1069" s="1" t="s">
        <v>125</v>
      </c>
      <c r="K1069" s="1" t="s">
        <v>130</v>
      </c>
      <c r="L1069" s="1">
        <v>2847493</v>
      </c>
      <c r="M1069" s="1" t="s">
        <v>1239</v>
      </c>
      <c r="N1069" s="5">
        <f>DATE(2022,2,10)</f>
        <v>44602</v>
      </c>
      <c r="O1069" s="5">
        <f>DATE(2025,2,10)</f>
        <v>45698</v>
      </c>
      <c r="P1069" s="5">
        <f t="shared" si="375"/>
        <v>46793</v>
      </c>
      <c r="Q1069" s="1">
        <v>3671</v>
      </c>
      <c r="R1069" s="1">
        <v>1200</v>
      </c>
      <c r="S1069" s="1">
        <f t="shared" si="376"/>
        <v>3200</v>
      </c>
      <c r="T1069" s="1">
        <v>1.5</v>
      </c>
      <c r="U1069" s="1" t="str">
        <f t="shared" si="377"/>
        <v>SIM</v>
      </c>
      <c r="V1069" s="1">
        <f t="shared" si="378"/>
        <v>1097</v>
      </c>
      <c r="W1069" s="4">
        <f t="shared" si="379"/>
        <v>2.917046490428441</v>
      </c>
      <c r="X1069" s="4">
        <f t="shared" si="380"/>
        <v>1064.721969006381</v>
      </c>
      <c r="Y1069" s="4">
        <f t="shared" si="381"/>
        <v>1.3309024612579763</v>
      </c>
      <c r="AB1069" s="5">
        <f t="shared" si="382"/>
        <v>45292</v>
      </c>
      <c r="AC1069" s="5">
        <f t="shared" si="383"/>
        <v>45657</v>
      </c>
      <c r="AD1069" s="1">
        <v>47</v>
      </c>
      <c r="AE1069" s="1">
        <f t="shared" si="384"/>
        <v>366</v>
      </c>
      <c r="AF1069" s="1">
        <f t="shared" si="385"/>
        <v>0</v>
      </c>
      <c r="AG1069" s="1">
        <f t="shared" si="386"/>
        <v>0</v>
      </c>
      <c r="AH1069" s="1">
        <f t="shared" si="387"/>
        <v>0</v>
      </c>
      <c r="AI1069" s="1">
        <f t="shared" si="388"/>
        <v>0</v>
      </c>
      <c r="AJ1069" s="3">
        <f t="shared" si="389"/>
        <v>1</v>
      </c>
      <c r="AK1069" s="3">
        <f t="shared" si="390"/>
        <v>1.3309024612579763</v>
      </c>
      <c r="AL1069" s="3">
        <f t="shared" si="391"/>
        <v>62.552415679124884</v>
      </c>
      <c r="AM1069" s="3">
        <f t="shared" si="392"/>
        <v>93.828623518687323</v>
      </c>
      <c r="AN1069" s="3">
        <f t="shared" si="393"/>
        <v>0</v>
      </c>
      <c r="AO1069" s="3">
        <f t="shared" si="394"/>
        <v>93.828623518687323</v>
      </c>
      <c r="AP1069" s="1" t="str">
        <f>INDEX({"EAD";"EAD";"EAD";"EAD MOOC";"EAD";"EAD";"EAD FP";"EAD";"PRESENCIAL";"PRESENCIAL";"PRESENCIAL";"PRESENCIAL"}, MATCH(CONCATENATE(E1069, ".", F1069),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70" spans="1:42" x14ac:dyDescent="0.25">
      <c r="A1070" s="1" t="s">
        <v>27</v>
      </c>
      <c r="B1070" s="1" t="s">
        <v>56</v>
      </c>
      <c r="C1070" s="1" t="s">
        <v>29</v>
      </c>
      <c r="D1070" s="1" t="s">
        <v>57</v>
      </c>
      <c r="E1070" s="1" t="s">
        <v>120</v>
      </c>
      <c r="F1070" s="1" t="s">
        <v>21</v>
      </c>
      <c r="G1070" s="1" t="s">
        <v>140</v>
      </c>
      <c r="H1070" s="1" t="s">
        <v>1146</v>
      </c>
      <c r="I1070" s="1" t="s">
        <v>209</v>
      </c>
      <c r="J1070" s="1" t="s">
        <v>125</v>
      </c>
      <c r="K1070" s="1" t="s">
        <v>109</v>
      </c>
      <c r="L1070" s="1">
        <v>2848144</v>
      </c>
      <c r="M1070" s="1" t="s">
        <v>1240</v>
      </c>
      <c r="N1070" s="5">
        <f>DATE(2022,2,10)</f>
        <v>44602</v>
      </c>
      <c r="O1070" s="5">
        <f>DATE(2025,2,10)</f>
        <v>45698</v>
      </c>
      <c r="P1070" s="5">
        <f t="shared" si="375"/>
        <v>46793</v>
      </c>
      <c r="Q1070" s="1">
        <v>2140</v>
      </c>
      <c r="R1070" s="1">
        <v>2000</v>
      </c>
      <c r="S1070" s="1">
        <f t="shared" si="376"/>
        <v>2000</v>
      </c>
      <c r="T1070" s="1">
        <v>1.5</v>
      </c>
      <c r="U1070" s="1" t="str">
        <f t="shared" si="377"/>
        <v>SIM</v>
      </c>
      <c r="V1070" s="1">
        <f t="shared" si="378"/>
        <v>1097</v>
      </c>
      <c r="W1070" s="4">
        <f t="shared" si="379"/>
        <v>1.8231540565177757</v>
      </c>
      <c r="X1070" s="4">
        <f t="shared" si="380"/>
        <v>665.45123062898813</v>
      </c>
      <c r="Y1070" s="4">
        <f t="shared" si="381"/>
        <v>0.83181403828623512</v>
      </c>
      <c r="AB1070" s="5">
        <f t="shared" si="382"/>
        <v>45292</v>
      </c>
      <c r="AC1070" s="5">
        <f t="shared" si="383"/>
        <v>45657</v>
      </c>
      <c r="AD1070" s="1">
        <v>26</v>
      </c>
      <c r="AE1070" s="1">
        <f t="shared" si="384"/>
        <v>366</v>
      </c>
      <c r="AF1070" s="1">
        <f t="shared" si="385"/>
        <v>0</v>
      </c>
      <c r="AG1070" s="1">
        <f t="shared" si="386"/>
        <v>0</v>
      </c>
      <c r="AH1070" s="1">
        <f t="shared" si="387"/>
        <v>0</v>
      </c>
      <c r="AI1070" s="1">
        <f t="shared" si="388"/>
        <v>0</v>
      </c>
      <c r="AJ1070" s="3">
        <f t="shared" si="389"/>
        <v>1</v>
      </c>
      <c r="AK1070" s="3">
        <f t="shared" si="390"/>
        <v>0.83181403828623512</v>
      </c>
      <c r="AL1070" s="3">
        <f t="shared" si="391"/>
        <v>21.627164995442115</v>
      </c>
      <c r="AM1070" s="3">
        <f t="shared" si="392"/>
        <v>32.440747493163173</v>
      </c>
      <c r="AN1070" s="3">
        <f t="shared" si="393"/>
        <v>0</v>
      </c>
      <c r="AO1070" s="3">
        <f t="shared" si="394"/>
        <v>32.440747493163173</v>
      </c>
      <c r="AP1070" s="1" t="str">
        <f>INDEX({"EAD";"EAD";"EAD";"EAD MOOC";"EAD";"EAD";"EAD FP";"EAD";"PRESENCIAL";"PRESENCIAL";"PRESENCIAL";"PRESENCIAL"}, MATCH(CONCATENATE(E1070, ".", F1070),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71" spans="1:42" x14ac:dyDescent="0.25">
      <c r="A1071" s="1" t="s">
        <v>27</v>
      </c>
      <c r="B1071" s="1" t="s">
        <v>56</v>
      </c>
      <c r="C1071" s="1" t="s">
        <v>29</v>
      </c>
      <c r="D1071" s="1" t="s">
        <v>57</v>
      </c>
      <c r="E1071" s="1" t="s">
        <v>120</v>
      </c>
      <c r="F1071" s="1" t="s">
        <v>21</v>
      </c>
      <c r="G1071" s="1" t="s">
        <v>278</v>
      </c>
      <c r="H1071" s="1" t="s">
        <v>1017</v>
      </c>
      <c r="I1071" s="1" t="s">
        <v>172</v>
      </c>
      <c r="J1071" s="1" t="s">
        <v>125</v>
      </c>
      <c r="K1071" s="1" t="s">
        <v>109</v>
      </c>
      <c r="L1071" s="1">
        <v>2848160</v>
      </c>
      <c r="M1071" s="1" t="s">
        <v>1241</v>
      </c>
      <c r="N1071" s="5">
        <f>DATE(2022,2,10)</f>
        <v>44602</v>
      </c>
      <c r="O1071" s="5">
        <f>DATE(2026,2,8)</f>
        <v>46061</v>
      </c>
      <c r="P1071" s="5">
        <f t="shared" si="375"/>
        <v>47156</v>
      </c>
      <c r="Q1071" s="1">
        <v>3200</v>
      </c>
      <c r="R1071" s="1">
        <v>3200</v>
      </c>
      <c r="S1071" s="1">
        <f t="shared" si="376"/>
        <v>3200</v>
      </c>
      <c r="T1071" s="1">
        <v>2.5</v>
      </c>
      <c r="U1071" s="1" t="str">
        <f t="shared" si="377"/>
        <v>SIM</v>
      </c>
      <c r="V1071" s="1">
        <f t="shared" si="378"/>
        <v>1460</v>
      </c>
      <c r="W1071" s="4">
        <f t="shared" si="379"/>
        <v>2.1917808219178081</v>
      </c>
      <c r="X1071" s="4">
        <f t="shared" si="380"/>
        <v>800</v>
      </c>
      <c r="Y1071" s="4">
        <f t="shared" si="381"/>
        <v>1</v>
      </c>
      <c r="AB1071" s="5">
        <f t="shared" si="382"/>
        <v>45292</v>
      </c>
      <c r="AC1071" s="5">
        <f t="shared" si="383"/>
        <v>45657</v>
      </c>
      <c r="AD1071" s="1">
        <v>12</v>
      </c>
      <c r="AE1071" s="1">
        <f t="shared" si="384"/>
        <v>366</v>
      </c>
      <c r="AF1071" s="1">
        <f t="shared" si="385"/>
        <v>0</v>
      </c>
      <c r="AG1071" s="1">
        <f t="shared" si="386"/>
        <v>0</v>
      </c>
      <c r="AH1071" s="1">
        <f t="shared" si="387"/>
        <v>0</v>
      </c>
      <c r="AI1071" s="1">
        <f t="shared" si="388"/>
        <v>0</v>
      </c>
      <c r="AJ1071" s="3">
        <f t="shared" si="389"/>
        <v>1</v>
      </c>
      <c r="AK1071" s="3">
        <f t="shared" si="390"/>
        <v>1</v>
      </c>
      <c r="AL1071" s="3">
        <f t="shared" si="391"/>
        <v>12</v>
      </c>
      <c r="AM1071" s="3">
        <f t="shared" si="392"/>
        <v>30</v>
      </c>
      <c r="AN1071" s="3">
        <f t="shared" si="393"/>
        <v>0</v>
      </c>
      <c r="AO1071" s="3">
        <f t="shared" si="394"/>
        <v>30</v>
      </c>
      <c r="AP1071" s="1" t="str">
        <f>INDEX({"EAD";"EAD";"EAD";"EAD MOOC";"EAD";"EAD";"EAD FP";"EAD";"PRESENCIAL";"PRESENCIAL";"PRESENCIAL";"PRESENCIAL"}, MATCH(CONCATENATE(E1071, ".", F1071),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72" spans="1:42" x14ac:dyDescent="0.25">
      <c r="A1072" s="1" t="s">
        <v>27</v>
      </c>
      <c r="B1072" s="1" t="s">
        <v>56</v>
      </c>
      <c r="C1072" s="1" t="s">
        <v>29</v>
      </c>
      <c r="D1072" s="1" t="s">
        <v>57</v>
      </c>
      <c r="E1072" s="1" t="s">
        <v>120</v>
      </c>
      <c r="F1072" s="1" t="s">
        <v>21</v>
      </c>
      <c r="G1072" s="1" t="s">
        <v>128</v>
      </c>
      <c r="H1072" s="1" t="s">
        <v>227</v>
      </c>
      <c r="I1072" s="1" t="s">
        <v>228</v>
      </c>
      <c r="J1072" s="1" t="s">
        <v>125</v>
      </c>
      <c r="K1072" s="1" t="s">
        <v>130</v>
      </c>
      <c r="L1072" s="1">
        <v>2970520</v>
      </c>
      <c r="M1072" s="1" t="s">
        <v>1242</v>
      </c>
      <c r="N1072" s="5">
        <f t="shared" ref="N1072:N1078" si="400">DATE(2023,2,9)</f>
        <v>44966</v>
      </c>
      <c r="O1072" s="5">
        <f>DATE(2026,2,9)</f>
        <v>46062</v>
      </c>
      <c r="P1072" s="5">
        <f t="shared" si="375"/>
        <v>47157</v>
      </c>
      <c r="Q1072" s="1">
        <v>3424</v>
      </c>
      <c r="R1072" s="1">
        <v>1200</v>
      </c>
      <c r="S1072" s="1">
        <f t="shared" si="376"/>
        <v>3200</v>
      </c>
      <c r="T1072" s="1">
        <v>2.5</v>
      </c>
      <c r="U1072" s="1" t="str">
        <f t="shared" si="377"/>
        <v>SIM</v>
      </c>
      <c r="V1072" s="1">
        <f t="shared" si="378"/>
        <v>1097</v>
      </c>
      <c r="W1072" s="4">
        <f t="shared" si="379"/>
        <v>2.917046490428441</v>
      </c>
      <c r="X1072" s="4">
        <f t="shared" si="380"/>
        <v>1064.721969006381</v>
      </c>
      <c r="Y1072" s="4">
        <f t="shared" si="381"/>
        <v>1.3309024612579763</v>
      </c>
      <c r="AB1072" s="5">
        <f t="shared" si="382"/>
        <v>45292</v>
      </c>
      <c r="AC1072" s="5">
        <f t="shared" si="383"/>
        <v>45657</v>
      </c>
      <c r="AD1072" s="1">
        <v>64</v>
      </c>
      <c r="AE1072" s="1">
        <f t="shared" si="384"/>
        <v>366</v>
      </c>
      <c r="AF1072" s="1">
        <f t="shared" si="385"/>
        <v>0</v>
      </c>
      <c r="AG1072" s="1">
        <f t="shared" si="386"/>
        <v>0</v>
      </c>
      <c r="AH1072" s="1">
        <f t="shared" si="387"/>
        <v>0</v>
      </c>
      <c r="AI1072" s="1">
        <f t="shared" si="388"/>
        <v>0</v>
      </c>
      <c r="AJ1072" s="3">
        <f t="shared" si="389"/>
        <v>1</v>
      </c>
      <c r="AK1072" s="3">
        <f t="shared" si="390"/>
        <v>1.3309024612579763</v>
      </c>
      <c r="AL1072" s="3">
        <f t="shared" si="391"/>
        <v>85.177757520510482</v>
      </c>
      <c r="AM1072" s="3">
        <f t="shared" si="392"/>
        <v>212.94439380127619</v>
      </c>
      <c r="AN1072" s="3">
        <f t="shared" si="393"/>
        <v>0</v>
      </c>
      <c r="AO1072" s="3">
        <f t="shared" si="394"/>
        <v>212.94439380127619</v>
      </c>
      <c r="AP1072" s="1" t="str">
        <f>INDEX({"EAD";"EAD";"EAD";"EAD MOOC";"EAD";"EAD";"EAD FP";"EAD";"PRESENCIAL";"PRESENCIAL";"PRESENCIAL";"PRESENCIAL"}, MATCH(CONCATENATE(E1072, ".", F1072),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73" spans="1:42" x14ac:dyDescent="0.25">
      <c r="A1073" s="1" t="s">
        <v>27</v>
      </c>
      <c r="B1073" s="1" t="s">
        <v>56</v>
      </c>
      <c r="C1073" s="1" t="s">
        <v>29</v>
      </c>
      <c r="D1073" s="1" t="s">
        <v>57</v>
      </c>
      <c r="E1073" s="1" t="s">
        <v>120</v>
      </c>
      <c r="F1073" s="1" t="s">
        <v>21</v>
      </c>
      <c r="G1073" s="1" t="s">
        <v>128</v>
      </c>
      <c r="H1073" s="1" t="s">
        <v>208</v>
      </c>
      <c r="I1073" s="1" t="s">
        <v>209</v>
      </c>
      <c r="J1073" s="1" t="s">
        <v>125</v>
      </c>
      <c r="K1073" s="1" t="s">
        <v>130</v>
      </c>
      <c r="L1073" s="1">
        <v>2970530</v>
      </c>
      <c r="M1073" s="1" t="s">
        <v>1243</v>
      </c>
      <c r="N1073" s="5">
        <f t="shared" si="400"/>
        <v>44966</v>
      </c>
      <c r="O1073" s="5">
        <f>DATE(2026,2,9)</f>
        <v>46062</v>
      </c>
      <c r="P1073" s="5">
        <f t="shared" si="375"/>
        <v>47157</v>
      </c>
      <c r="Q1073" s="1">
        <v>3672</v>
      </c>
      <c r="R1073" s="1">
        <v>1200</v>
      </c>
      <c r="S1073" s="1">
        <f t="shared" si="376"/>
        <v>3200</v>
      </c>
      <c r="T1073" s="1">
        <v>1.5</v>
      </c>
      <c r="U1073" s="1" t="str">
        <f t="shared" si="377"/>
        <v>SIM</v>
      </c>
      <c r="V1073" s="1">
        <f t="shared" si="378"/>
        <v>1097</v>
      </c>
      <c r="W1073" s="4">
        <f t="shared" si="379"/>
        <v>2.917046490428441</v>
      </c>
      <c r="X1073" s="4">
        <f t="shared" si="380"/>
        <v>1064.721969006381</v>
      </c>
      <c r="Y1073" s="4">
        <f t="shared" si="381"/>
        <v>1.3309024612579763</v>
      </c>
      <c r="AB1073" s="5">
        <f t="shared" si="382"/>
        <v>45292</v>
      </c>
      <c r="AC1073" s="5">
        <f t="shared" si="383"/>
        <v>45657</v>
      </c>
      <c r="AD1073" s="1">
        <v>35</v>
      </c>
      <c r="AE1073" s="1">
        <f t="shared" si="384"/>
        <v>366</v>
      </c>
      <c r="AF1073" s="1">
        <f t="shared" si="385"/>
        <v>0</v>
      </c>
      <c r="AG1073" s="1">
        <f t="shared" si="386"/>
        <v>0</v>
      </c>
      <c r="AH1073" s="1">
        <f t="shared" si="387"/>
        <v>0</v>
      </c>
      <c r="AI1073" s="1">
        <f t="shared" si="388"/>
        <v>0</v>
      </c>
      <c r="AJ1073" s="3">
        <f t="shared" si="389"/>
        <v>1</v>
      </c>
      <c r="AK1073" s="3">
        <f t="shared" si="390"/>
        <v>1.3309024612579763</v>
      </c>
      <c r="AL1073" s="3">
        <f t="shared" si="391"/>
        <v>46.581586144029167</v>
      </c>
      <c r="AM1073" s="3">
        <f t="shared" si="392"/>
        <v>69.872379216043754</v>
      </c>
      <c r="AN1073" s="3">
        <f t="shared" si="393"/>
        <v>0</v>
      </c>
      <c r="AO1073" s="3">
        <f t="shared" si="394"/>
        <v>69.872379216043754</v>
      </c>
      <c r="AP1073" s="1" t="str">
        <f>INDEX({"EAD";"EAD";"EAD";"EAD MOOC";"EAD";"EAD";"EAD FP";"EAD";"PRESENCIAL";"PRESENCIAL";"PRESENCIAL";"PRESENCIAL"}, MATCH(CONCATENATE(E1073, ".", F1073),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74" spans="1:42" x14ac:dyDescent="0.25">
      <c r="A1074" s="1" t="s">
        <v>27</v>
      </c>
      <c r="B1074" s="1" t="s">
        <v>56</v>
      </c>
      <c r="C1074" s="1" t="s">
        <v>29</v>
      </c>
      <c r="D1074" s="1" t="s">
        <v>57</v>
      </c>
      <c r="E1074" s="1" t="s">
        <v>120</v>
      </c>
      <c r="F1074" s="1" t="s">
        <v>21</v>
      </c>
      <c r="G1074" s="1" t="s">
        <v>128</v>
      </c>
      <c r="H1074" s="1" t="s">
        <v>218</v>
      </c>
      <c r="I1074" s="1" t="s">
        <v>124</v>
      </c>
      <c r="J1074" s="1" t="s">
        <v>125</v>
      </c>
      <c r="K1074" s="1" t="s">
        <v>130</v>
      </c>
      <c r="L1074" s="1">
        <v>2970534</v>
      </c>
      <c r="M1074" s="1" t="s">
        <v>1244</v>
      </c>
      <c r="N1074" s="5">
        <f t="shared" si="400"/>
        <v>44966</v>
      </c>
      <c r="O1074" s="5">
        <f>DATE(2026,2,9)</f>
        <v>46062</v>
      </c>
      <c r="P1074" s="5">
        <f t="shared" si="375"/>
        <v>47157</v>
      </c>
      <c r="Q1074" s="1">
        <v>3186</v>
      </c>
      <c r="R1074" s="1">
        <v>800</v>
      </c>
      <c r="S1074" s="1">
        <f t="shared" si="376"/>
        <v>3000</v>
      </c>
      <c r="T1074" s="1">
        <v>1.5</v>
      </c>
      <c r="U1074" s="1" t="str">
        <f t="shared" si="377"/>
        <v>SIM</v>
      </c>
      <c r="V1074" s="1">
        <f t="shared" si="378"/>
        <v>1097</v>
      </c>
      <c r="W1074" s="4">
        <f t="shared" si="379"/>
        <v>2.7347310847766635</v>
      </c>
      <c r="X1074" s="4">
        <f t="shared" si="380"/>
        <v>998.17684594348214</v>
      </c>
      <c r="Y1074" s="4">
        <f t="shared" si="381"/>
        <v>1.2477210574293527</v>
      </c>
      <c r="AB1074" s="5">
        <f t="shared" si="382"/>
        <v>45292</v>
      </c>
      <c r="AC1074" s="5">
        <f t="shared" si="383"/>
        <v>45657</v>
      </c>
      <c r="AD1074" s="1">
        <v>67</v>
      </c>
      <c r="AE1074" s="1">
        <f t="shared" si="384"/>
        <v>366</v>
      </c>
      <c r="AF1074" s="1">
        <f t="shared" si="385"/>
        <v>0</v>
      </c>
      <c r="AG1074" s="1">
        <f t="shared" si="386"/>
        <v>0</v>
      </c>
      <c r="AH1074" s="1">
        <f t="shared" si="387"/>
        <v>0</v>
      </c>
      <c r="AI1074" s="1">
        <f t="shared" si="388"/>
        <v>0</v>
      </c>
      <c r="AJ1074" s="3">
        <f t="shared" si="389"/>
        <v>1</v>
      </c>
      <c r="AK1074" s="3">
        <f t="shared" si="390"/>
        <v>1.2477210574293527</v>
      </c>
      <c r="AL1074" s="3">
        <f t="shared" si="391"/>
        <v>83.597310847766636</v>
      </c>
      <c r="AM1074" s="3">
        <f t="shared" si="392"/>
        <v>125.39596627164995</v>
      </c>
      <c r="AN1074" s="3">
        <f t="shared" si="393"/>
        <v>0</v>
      </c>
      <c r="AO1074" s="3">
        <f t="shared" si="394"/>
        <v>125.39596627164995</v>
      </c>
      <c r="AP1074" s="1" t="str">
        <f>INDEX({"EAD";"EAD";"EAD";"EAD MOOC";"EAD";"EAD";"EAD FP";"EAD";"PRESENCIAL";"PRESENCIAL";"PRESENCIAL";"PRESENCIAL"}, MATCH(CONCATENATE(E1074, ".", F1074),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75" spans="1:42" x14ac:dyDescent="0.25">
      <c r="A1075" s="1" t="s">
        <v>27</v>
      </c>
      <c r="B1075" s="1" t="s">
        <v>56</v>
      </c>
      <c r="C1075" s="1" t="s">
        <v>29</v>
      </c>
      <c r="D1075" s="1" t="s">
        <v>57</v>
      </c>
      <c r="E1075" s="1" t="s">
        <v>120</v>
      </c>
      <c r="F1075" s="1" t="s">
        <v>21</v>
      </c>
      <c r="G1075" s="1" t="s">
        <v>128</v>
      </c>
      <c r="H1075" s="1" t="s">
        <v>890</v>
      </c>
      <c r="I1075" s="1" t="s">
        <v>191</v>
      </c>
      <c r="J1075" s="1" t="s">
        <v>125</v>
      </c>
      <c r="K1075" s="1" t="s">
        <v>130</v>
      </c>
      <c r="L1075" s="1">
        <v>2970537</v>
      </c>
      <c r="M1075" s="1" t="s">
        <v>1245</v>
      </c>
      <c r="N1075" s="5">
        <f t="shared" si="400"/>
        <v>44966</v>
      </c>
      <c r="O1075" s="5">
        <f>DATE(2026,2,9)</f>
        <v>46062</v>
      </c>
      <c r="P1075" s="5">
        <f t="shared" si="375"/>
        <v>47157</v>
      </c>
      <c r="Q1075" s="1">
        <v>3424</v>
      </c>
      <c r="R1075" s="1">
        <v>1200</v>
      </c>
      <c r="S1075" s="1">
        <f t="shared" si="376"/>
        <v>3200</v>
      </c>
      <c r="T1075" s="1">
        <v>2.5</v>
      </c>
      <c r="U1075" s="1" t="str">
        <f t="shared" si="377"/>
        <v>SIM</v>
      </c>
      <c r="V1075" s="1">
        <f t="shared" si="378"/>
        <v>1097</v>
      </c>
      <c r="W1075" s="4">
        <f t="shared" si="379"/>
        <v>2.917046490428441</v>
      </c>
      <c r="X1075" s="4">
        <f t="shared" si="380"/>
        <v>1064.721969006381</v>
      </c>
      <c r="Y1075" s="4">
        <f t="shared" si="381"/>
        <v>1.3309024612579763</v>
      </c>
      <c r="AB1075" s="5">
        <f t="shared" si="382"/>
        <v>45292</v>
      </c>
      <c r="AC1075" s="5">
        <f t="shared" si="383"/>
        <v>45657</v>
      </c>
      <c r="AD1075" s="1">
        <v>35</v>
      </c>
      <c r="AE1075" s="1">
        <f t="shared" si="384"/>
        <v>366</v>
      </c>
      <c r="AF1075" s="1">
        <f t="shared" si="385"/>
        <v>0</v>
      </c>
      <c r="AG1075" s="1">
        <f t="shared" si="386"/>
        <v>0</v>
      </c>
      <c r="AH1075" s="1">
        <f t="shared" si="387"/>
        <v>0</v>
      </c>
      <c r="AI1075" s="1">
        <f t="shared" si="388"/>
        <v>0</v>
      </c>
      <c r="AJ1075" s="3">
        <f t="shared" si="389"/>
        <v>1</v>
      </c>
      <c r="AK1075" s="3">
        <f t="shared" si="390"/>
        <v>1.3309024612579763</v>
      </c>
      <c r="AL1075" s="3">
        <f t="shared" si="391"/>
        <v>46.581586144029167</v>
      </c>
      <c r="AM1075" s="3">
        <f t="shared" si="392"/>
        <v>116.45396536007291</v>
      </c>
      <c r="AN1075" s="3">
        <f t="shared" si="393"/>
        <v>0</v>
      </c>
      <c r="AO1075" s="3">
        <f t="shared" si="394"/>
        <v>116.45396536007291</v>
      </c>
      <c r="AP1075" s="1" t="str">
        <f>INDEX({"EAD";"EAD";"EAD";"EAD MOOC";"EAD";"EAD";"EAD FP";"EAD";"PRESENCIAL";"PRESENCIAL";"PRESENCIAL";"PRESENCIAL"}, MATCH(CONCATENATE(E1075, ".", F1075),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76" spans="1:42" x14ac:dyDescent="0.25">
      <c r="A1076" s="1" t="s">
        <v>27</v>
      </c>
      <c r="B1076" s="1" t="s">
        <v>56</v>
      </c>
      <c r="C1076" s="1" t="s">
        <v>29</v>
      </c>
      <c r="D1076" s="1" t="s">
        <v>57</v>
      </c>
      <c r="E1076" s="1" t="s">
        <v>120</v>
      </c>
      <c r="F1076" s="1" t="s">
        <v>21</v>
      </c>
      <c r="G1076" s="1" t="s">
        <v>278</v>
      </c>
      <c r="H1076" s="1" t="s">
        <v>1017</v>
      </c>
      <c r="I1076" s="1" t="s">
        <v>172</v>
      </c>
      <c r="J1076" s="1" t="s">
        <v>125</v>
      </c>
      <c r="K1076" s="1" t="s">
        <v>109</v>
      </c>
      <c r="L1076" s="1">
        <v>2972498</v>
      </c>
      <c r="M1076" s="1" t="s">
        <v>1246</v>
      </c>
      <c r="N1076" s="5">
        <f t="shared" si="400"/>
        <v>44966</v>
      </c>
      <c r="O1076" s="5">
        <f>DATE(2027,2,1)</f>
        <v>46419</v>
      </c>
      <c r="P1076" s="5">
        <f t="shared" si="375"/>
        <v>47514</v>
      </c>
      <c r="Q1076" s="1">
        <v>3200</v>
      </c>
      <c r="R1076" s="1">
        <v>3200</v>
      </c>
      <c r="S1076" s="1">
        <f t="shared" si="376"/>
        <v>3200</v>
      </c>
      <c r="T1076" s="1">
        <v>2.5</v>
      </c>
      <c r="U1076" s="1" t="str">
        <f t="shared" si="377"/>
        <v>SIM</v>
      </c>
      <c r="V1076" s="1">
        <f t="shared" si="378"/>
        <v>1454</v>
      </c>
      <c r="W1076" s="4">
        <f t="shared" si="379"/>
        <v>2.200825309491059</v>
      </c>
      <c r="X1076" s="4">
        <f t="shared" si="380"/>
        <v>803.30123796423652</v>
      </c>
      <c r="Y1076" s="4">
        <f t="shared" si="381"/>
        <v>1.0041265474552956</v>
      </c>
      <c r="AB1076" s="5">
        <f t="shared" si="382"/>
        <v>45292</v>
      </c>
      <c r="AC1076" s="5">
        <f t="shared" si="383"/>
        <v>45657</v>
      </c>
      <c r="AD1076" s="1">
        <v>6</v>
      </c>
      <c r="AE1076" s="1">
        <f t="shared" si="384"/>
        <v>366</v>
      </c>
      <c r="AF1076" s="1">
        <f t="shared" si="385"/>
        <v>0</v>
      </c>
      <c r="AG1076" s="1">
        <f t="shared" si="386"/>
        <v>0</v>
      </c>
      <c r="AH1076" s="1">
        <f t="shared" si="387"/>
        <v>0</v>
      </c>
      <c r="AI1076" s="1">
        <f t="shared" si="388"/>
        <v>0</v>
      </c>
      <c r="AJ1076" s="3">
        <f t="shared" si="389"/>
        <v>1</v>
      </c>
      <c r="AK1076" s="3">
        <f t="shared" si="390"/>
        <v>1.0041265474552956</v>
      </c>
      <c r="AL1076" s="3">
        <f t="shared" si="391"/>
        <v>6.0247592847317737</v>
      </c>
      <c r="AM1076" s="3">
        <f t="shared" si="392"/>
        <v>15.061898211829433</v>
      </c>
      <c r="AN1076" s="3">
        <f t="shared" si="393"/>
        <v>0</v>
      </c>
      <c r="AO1076" s="3">
        <f t="shared" si="394"/>
        <v>15.061898211829433</v>
      </c>
      <c r="AP1076" s="1" t="str">
        <f>INDEX({"EAD";"EAD";"EAD";"EAD MOOC";"EAD";"EAD";"EAD FP";"EAD";"PRESENCIAL";"PRESENCIAL";"PRESENCIAL";"PRESENCIAL"}, MATCH(CONCATENATE(E1076, ".", F1076),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77" spans="1:42" x14ac:dyDescent="0.25">
      <c r="A1077" s="1" t="s">
        <v>27</v>
      </c>
      <c r="B1077" s="1" t="s">
        <v>56</v>
      </c>
      <c r="C1077" s="1" t="s">
        <v>29</v>
      </c>
      <c r="D1077" s="1" t="s">
        <v>57</v>
      </c>
      <c r="E1077" s="1" t="s">
        <v>120</v>
      </c>
      <c r="F1077" s="1" t="s">
        <v>21</v>
      </c>
      <c r="G1077" s="1" t="s">
        <v>140</v>
      </c>
      <c r="H1077" s="1" t="s">
        <v>1146</v>
      </c>
      <c r="I1077" s="1" t="s">
        <v>209</v>
      </c>
      <c r="J1077" s="1" t="s">
        <v>125</v>
      </c>
      <c r="K1077" s="1" t="s">
        <v>109</v>
      </c>
      <c r="L1077" s="1">
        <v>2972501</v>
      </c>
      <c r="M1077" s="1" t="s">
        <v>1247</v>
      </c>
      <c r="N1077" s="5">
        <f t="shared" si="400"/>
        <v>44966</v>
      </c>
      <c r="O1077" s="5">
        <f>DATE(2026,2,9)</f>
        <v>46062</v>
      </c>
      <c r="P1077" s="5">
        <f t="shared" si="375"/>
        <v>47157</v>
      </c>
      <c r="Q1077" s="1">
        <v>2140</v>
      </c>
      <c r="R1077" s="1">
        <v>2000</v>
      </c>
      <c r="S1077" s="1">
        <f t="shared" si="376"/>
        <v>2000</v>
      </c>
      <c r="T1077" s="1">
        <v>1.5</v>
      </c>
      <c r="U1077" s="1" t="str">
        <f t="shared" si="377"/>
        <v>SIM</v>
      </c>
      <c r="V1077" s="1">
        <f t="shared" si="378"/>
        <v>1097</v>
      </c>
      <c r="W1077" s="4">
        <f t="shared" si="379"/>
        <v>1.8231540565177757</v>
      </c>
      <c r="X1077" s="4">
        <f t="shared" si="380"/>
        <v>665.45123062898813</v>
      </c>
      <c r="Y1077" s="4">
        <f t="shared" si="381"/>
        <v>0.83181403828623512</v>
      </c>
      <c r="AB1077" s="5">
        <f t="shared" si="382"/>
        <v>45292</v>
      </c>
      <c r="AC1077" s="5">
        <f t="shared" si="383"/>
        <v>45657</v>
      </c>
      <c r="AD1077" s="1">
        <v>25</v>
      </c>
      <c r="AE1077" s="1">
        <f t="shared" si="384"/>
        <v>366</v>
      </c>
      <c r="AF1077" s="1">
        <f t="shared" si="385"/>
        <v>0</v>
      </c>
      <c r="AG1077" s="1">
        <f t="shared" si="386"/>
        <v>0</v>
      </c>
      <c r="AH1077" s="1">
        <f t="shared" si="387"/>
        <v>0</v>
      </c>
      <c r="AI1077" s="1">
        <f t="shared" si="388"/>
        <v>0</v>
      </c>
      <c r="AJ1077" s="3">
        <f t="shared" si="389"/>
        <v>1</v>
      </c>
      <c r="AK1077" s="3">
        <f t="shared" si="390"/>
        <v>0.83181403828623512</v>
      </c>
      <c r="AL1077" s="3">
        <f t="shared" si="391"/>
        <v>20.795350957155879</v>
      </c>
      <c r="AM1077" s="3">
        <f t="shared" si="392"/>
        <v>31.19302643573382</v>
      </c>
      <c r="AN1077" s="3">
        <f t="shared" si="393"/>
        <v>0</v>
      </c>
      <c r="AO1077" s="3">
        <f t="shared" si="394"/>
        <v>31.19302643573382</v>
      </c>
      <c r="AP1077" s="1" t="str">
        <f>INDEX({"EAD";"EAD";"EAD";"EAD MOOC";"EAD";"EAD";"EAD FP";"EAD";"PRESENCIAL";"PRESENCIAL";"PRESENCIAL";"PRESENCIAL"}, MATCH(CONCATENATE(E1077, ".", F1077),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78" spans="1:42" x14ac:dyDescent="0.25">
      <c r="A1078" s="1" t="s">
        <v>27</v>
      </c>
      <c r="B1078" s="1" t="s">
        <v>56</v>
      </c>
      <c r="C1078" s="1" t="s">
        <v>29</v>
      </c>
      <c r="D1078" s="1" t="s">
        <v>57</v>
      </c>
      <c r="E1078" s="1" t="s">
        <v>120</v>
      </c>
      <c r="F1078" s="1" t="s">
        <v>21</v>
      </c>
      <c r="G1078" s="1" t="s">
        <v>128</v>
      </c>
      <c r="H1078" s="1" t="s">
        <v>890</v>
      </c>
      <c r="I1078" s="1" t="s">
        <v>191</v>
      </c>
      <c r="J1078" s="1" t="s">
        <v>125</v>
      </c>
      <c r="K1078" s="1" t="s">
        <v>163</v>
      </c>
      <c r="L1078" s="1">
        <v>2972502</v>
      </c>
      <c r="M1078" s="1" t="s">
        <v>1248</v>
      </c>
      <c r="N1078" s="5">
        <f t="shared" si="400"/>
        <v>44966</v>
      </c>
      <c r="O1078" s="5">
        <f>DATE(2024,8,9)</f>
        <v>45513</v>
      </c>
      <c r="P1078" s="5">
        <f t="shared" si="375"/>
        <v>46608</v>
      </c>
      <c r="Q1078" s="1">
        <v>1207</v>
      </c>
      <c r="R1078" s="1">
        <v>1200</v>
      </c>
      <c r="S1078" s="1">
        <f t="shared" si="376"/>
        <v>1200</v>
      </c>
      <c r="T1078" s="1">
        <v>2.5</v>
      </c>
      <c r="U1078" s="1" t="str">
        <f t="shared" si="377"/>
        <v>SIM</v>
      </c>
      <c r="V1078" s="1">
        <f t="shared" si="378"/>
        <v>548</v>
      </c>
      <c r="W1078" s="4">
        <f t="shared" si="379"/>
        <v>2.1897810218978102</v>
      </c>
      <c r="X1078" s="4">
        <f t="shared" si="380"/>
        <v>799.27007299270076</v>
      </c>
      <c r="Y1078" s="4">
        <f t="shared" si="381"/>
        <v>0.99908759124087598</v>
      </c>
      <c r="AB1078" s="5">
        <f t="shared" si="382"/>
        <v>45292</v>
      </c>
      <c r="AC1078" s="5">
        <f t="shared" si="383"/>
        <v>45657</v>
      </c>
      <c r="AD1078" s="1">
        <v>13</v>
      </c>
      <c r="AE1078" s="1">
        <f t="shared" si="384"/>
        <v>0</v>
      </c>
      <c r="AF1078" s="1">
        <f t="shared" si="385"/>
        <v>0</v>
      </c>
      <c r="AG1078" s="1">
        <f t="shared" si="386"/>
        <v>222</v>
      </c>
      <c r="AH1078" s="1">
        <f t="shared" si="387"/>
        <v>0</v>
      </c>
      <c r="AI1078" s="1">
        <f t="shared" si="388"/>
        <v>0</v>
      </c>
      <c r="AJ1078" s="3">
        <f t="shared" si="389"/>
        <v>0.60655737704918034</v>
      </c>
      <c r="AK1078" s="3">
        <f t="shared" si="390"/>
        <v>0.60600394878544939</v>
      </c>
      <c r="AL1078" s="3">
        <f t="shared" si="391"/>
        <v>7.8780513342108422</v>
      </c>
      <c r="AM1078" s="3">
        <f t="shared" si="392"/>
        <v>19.695128335527105</v>
      </c>
      <c r="AN1078" s="3">
        <f t="shared" si="393"/>
        <v>0</v>
      </c>
      <c r="AO1078" s="3">
        <f t="shared" si="394"/>
        <v>19.695128335527105</v>
      </c>
      <c r="AP1078" s="1" t="str">
        <f>INDEX({"EAD";"EAD";"EAD";"EAD MOOC";"EAD";"EAD";"EAD FP";"EAD";"PRESENCIAL";"PRESENCIAL";"PRESENCIAL";"PRESENCIAL"}, MATCH(CONCATENATE(E1078, ".", F1078),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79" spans="1:42" x14ac:dyDescent="0.25">
      <c r="A1079" s="1" t="s">
        <v>27</v>
      </c>
      <c r="B1079" s="1" t="s">
        <v>56</v>
      </c>
      <c r="C1079" s="1" t="s">
        <v>29</v>
      </c>
      <c r="D1079" s="1" t="s">
        <v>57</v>
      </c>
      <c r="E1079" s="1" t="s">
        <v>170</v>
      </c>
      <c r="F1079" s="1" t="s">
        <v>21</v>
      </c>
      <c r="G1079" s="1" t="s">
        <v>128</v>
      </c>
      <c r="H1079" s="1" t="s">
        <v>171</v>
      </c>
      <c r="I1079" s="1" t="s">
        <v>172</v>
      </c>
      <c r="J1079" s="1" t="s">
        <v>125</v>
      </c>
      <c r="K1079" s="1" t="s">
        <v>163</v>
      </c>
      <c r="L1079" s="1">
        <v>2975047</v>
      </c>
      <c r="M1079" s="1" t="s">
        <v>300</v>
      </c>
      <c r="N1079" s="5">
        <f>DATE(2023,4,3)</f>
        <v>45019</v>
      </c>
      <c r="O1079" s="5">
        <f>DATE(2024,10,31)</f>
        <v>45596</v>
      </c>
      <c r="P1079" s="5">
        <f t="shared" si="375"/>
        <v>46691</v>
      </c>
      <c r="Q1079" s="1">
        <v>1200</v>
      </c>
      <c r="R1079" s="1">
        <v>1200</v>
      </c>
      <c r="S1079" s="1">
        <f t="shared" si="376"/>
        <v>1200</v>
      </c>
      <c r="T1079" s="1">
        <v>2</v>
      </c>
      <c r="U1079" s="1" t="str">
        <f t="shared" si="377"/>
        <v>SIM</v>
      </c>
      <c r="V1079" s="1">
        <f t="shared" si="378"/>
        <v>578</v>
      </c>
      <c r="W1079" s="4">
        <f t="shared" si="379"/>
        <v>2.0761245674740483</v>
      </c>
      <c r="X1079" s="4">
        <f t="shared" si="380"/>
        <v>757.78546712802768</v>
      </c>
      <c r="Y1079" s="4">
        <f t="shared" si="381"/>
        <v>0.94723183391003463</v>
      </c>
      <c r="AB1079" s="5">
        <f t="shared" si="382"/>
        <v>45292</v>
      </c>
      <c r="AC1079" s="5">
        <f t="shared" si="383"/>
        <v>45657</v>
      </c>
      <c r="AD1079" s="1">
        <v>57</v>
      </c>
      <c r="AE1079" s="1">
        <f t="shared" si="384"/>
        <v>0</v>
      </c>
      <c r="AF1079" s="1">
        <f t="shared" si="385"/>
        <v>0</v>
      </c>
      <c r="AG1079" s="1">
        <f t="shared" si="386"/>
        <v>305</v>
      </c>
      <c r="AH1079" s="1">
        <f t="shared" si="387"/>
        <v>0</v>
      </c>
      <c r="AI1079" s="1">
        <f t="shared" si="388"/>
        <v>0</v>
      </c>
      <c r="AJ1079" s="3">
        <f t="shared" si="389"/>
        <v>0.83333333333333337</v>
      </c>
      <c r="AK1079" s="3">
        <f t="shared" si="390"/>
        <v>0.78935986159169558</v>
      </c>
      <c r="AL1079" s="3">
        <f t="shared" si="391"/>
        <v>44.993512110726648</v>
      </c>
      <c r="AM1079" s="3">
        <f t="shared" si="392"/>
        <v>89.987024221453296</v>
      </c>
      <c r="AN1079" s="3">
        <f t="shared" si="393"/>
        <v>0</v>
      </c>
      <c r="AO1079" s="3">
        <f t="shared" si="394"/>
        <v>89.987024221453296</v>
      </c>
      <c r="AP1079" s="1" t="str">
        <f>INDEX({"EAD";"EAD";"EAD";"EAD MOOC";"EAD";"EAD";"EAD FP";"EAD";"PRESENCIAL";"PRESENCIAL";"PRESENCIAL";"PRESENCIAL"}, MATCH(CONCATENATE(E1079, ".", F1079),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080" spans="1:42" x14ac:dyDescent="0.25">
      <c r="A1080" s="1" t="s">
        <v>27</v>
      </c>
      <c r="B1080" s="1" t="s">
        <v>56</v>
      </c>
      <c r="C1080" s="1" t="s">
        <v>29</v>
      </c>
      <c r="D1080" s="1" t="s">
        <v>57</v>
      </c>
      <c r="E1080" s="1" t="s">
        <v>170</v>
      </c>
      <c r="F1080" s="1" t="s">
        <v>21</v>
      </c>
      <c r="G1080" s="1" t="s">
        <v>128</v>
      </c>
      <c r="H1080" s="1" t="s">
        <v>174</v>
      </c>
      <c r="I1080" s="1" t="s">
        <v>172</v>
      </c>
      <c r="J1080" s="1" t="s">
        <v>125</v>
      </c>
      <c r="K1080" s="1" t="s">
        <v>163</v>
      </c>
      <c r="L1080" s="1">
        <v>2975223</v>
      </c>
      <c r="M1080" s="1" t="s">
        <v>301</v>
      </c>
      <c r="N1080" s="5">
        <f>DATE(2023,4,3)</f>
        <v>45019</v>
      </c>
      <c r="O1080" s="5">
        <f>DATE(2024,10,31)</f>
        <v>45596</v>
      </c>
      <c r="P1080" s="5">
        <f t="shared" si="375"/>
        <v>46691</v>
      </c>
      <c r="Q1080" s="1">
        <v>1200</v>
      </c>
      <c r="R1080" s="1">
        <v>1200</v>
      </c>
      <c r="S1080" s="1">
        <f t="shared" si="376"/>
        <v>1200</v>
      </c>
      <c r="T1080" s="1">
        <v>1</v>
      </c>
      <c r="U1080" s="1" t="str">
        <f t="shared" si="377"/>
        <v>SIM</v>
      </c>
      <c r="V1080" s="1">
        <f t="shared" si="378"/>
        <v>578</v>
      </c>
      <c r="W1080" s="4">
        <f t="shared" si="379"/>
        <v>2.0761245674740483</v>
      </c>
      <c r="X1080" s="4">
        <f t="shared" si="380"/>
        <v>757.78546712802768</v>
      </c>
      <c r="Y1080" s="4">
        <f t="shared" si="381"/>
        <v>0.94723183391003463</v>
      </c>
      <c r="AB1080" s="5">
        <f t="shared" si="382"/>
        <v>45292</v>
      </c>
      <c r="AC1080" s="5">
        <f t="shared" si="383"/>
        <v>45657</v>
      </c>
      <c r="AD1080" s="1">
        <v>94</v>
      </c>
      <c r="AE1080" s="1">
        <f t="shared" si="384"/>
        <v>0</v>
      </c>
      <c r="AF1080" s="1">
        <f t="shared" si="385"/>
        <v>0</v>
      </c>
      <c r="AG1080" s="1">
        <f t="shared" si="386"/>
        <v>305</v>
      </c>
      <c r="AH1080" s="1">
        <f t="shared" si="387"/>
        <v>0</v>
      </c>
      <c r="AI1080" s="1">
        <f t="shared" si="388"/>
        <v>0</v>
      </c>
      <c r="AJ1080" s="3">
        <f t="shared" si="389"/>
        <v>0.83333333333333337</v>
      </c>
      <c r="AK1080" s="3">
        <f t="shared" si="390"/>
        <v>0.78935986159169558</v>
      </c>
      <c r="AL1080" s="3">
        <f t="shared" si="391"/>
        <v>74.199826989619382</v>
      </c>
      <c r="AM1080" s="3">
        <f t="shared" si="392"/>
        <v>74.199826989619382</v>
      </c>
      <c r="AN1080" s="3">
        <f t="shared" si="393"/>
        <v>0</v>
      </c>
      <c r="AO1080" s="3">
        <f t="shared" si="394"/>
        <v>74.199826989619382</v>
      </c>
      <c r="AP1080" s="1" t="str">
        <f>INDEX({"EAD";"EAD";"EAD";"EAD MOOC";"EAD";"EAD";"EAD FP";"EAD";"PRESENCIAL";"PRESENCIAL";"PRESENCIAL";"PRESENCIAL"}, MATCH(CONCATENATE(E1080, ".", F1080),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081" spans="1:42" x14ac:dyDescent="0.25">
      <c r="A1081" s="1" t="s">
        <v>27</v>
      </c>
      <c r="B1081" s="1" t="s">
        <v>56</v>
      </c>
      <c r="C1081" s="1" t="s">
        <v>29</v>
      </c>
      <c r="D1081" s="1" t="s">
        <v>57</v>
      </c>
      <c r="E1081" s="1" t="s">
        <v>170</v>
      </c>
      <c r="F1081" s="1" t="s">
        <v>21</v>
      </c>
      <c r="G1081" s="1" t="s">
        <v>128</v>
      </c>
      <c r="H1081" s="1" t="s">
        <v>798</v>
      </c>
      <c r="I1081" s="1" t="s">
        <v>172</v>
      </c>
      <c r="J1081" s="1" t="s">
        <v>125</v>
      </c>
      <c r="K1081" s="1" t="s">
        <v>163</v>
      </c>
      <c r="L1081" s="1">
        <v>2975268</v>
      </c>
      <c r="M1081" s="1" t="s">
        <v>1249</v>
      </c>
      <c r="N1081" s="5">
        <f>DATE(2023,4,3)</f>
        <v>45019</v>
      </c>
      <c r="O1081" s="5">
        <f>DATE(2024,5,31)</f>
        <v>45443</v>
      </c>
      <c r="P1081" s="5">
        <f t="shared" si="375"/>
        <v>46538</v>
      </c>
      <c r="Q1081" s="1">
        <v>1200</v>
      </c>
      <c r="R1081" s="1">
        <v>1200</v>
      </c>
      <c r="S1081" s="1">
        <f t="shared" si="376"/>
        <v>1200</v>
      </c>
      <c r="T1081" s="1">
        <v>2.5</v>
      </c>
      <c r="U1081" s="1" t="str">
        <f t="shared" si="377"/>
        <v>SIM</v>
      </c>
      <c r="V1081" s="1">
        <f t="shared" si="378"/>
        <v>425</v>
      </c>
      <c r="W1081" s="4">
        <f t="shared" si="379"/>
        <v>2.8235294117647061</v>
      </c>
      <c r="X1081" s="4">
        <f t="shared" si="380"/>
        <v>1030.5882352941178</v>
      </c>
      <c r="Y1081" s="4">
        <f t="shared" si="381"/>
        <v>1.2882352941176471</v>
      </c>
      <c r="AB1081" s="5">
        <f t="shared" si="382"/>
        <v>45292</v>
      </c>
      <c r="AC1081" s="5">
        <f t="shared" si="383"/>
        <v>45657</v>
      </c>
      <c r="AD1081" s="1">
        <v>18</v>
      </c>
      <c r="AE1081" s="1">
        <f t="shared" si="384"/>
        <v>0</v>
      </c>
      <c r="AF1081" s="1">
        <f t="shared" si="385"/>
        <v>0</v>
      </c>
      <c r="AG1081" s="1">
        <f t="shared" si="386"/>
        <v>152</v>
      </c>
      <c r="AH1081" s="1">
        <f t="shared" si="387"/>
        <v>0</v>
      </c>
      <c r="AI1081" s="1">
        <f t="shared" si="388"/>
        <v>0</v>
      </c>
      <c r="AJ1081" s="3">
        <f t="shared" si="389"/>
        <v>0.41530054644808745</v>
      </c>
      <c r="AK1081" s="3">
        <f t="shared" si="390"/>
        <v>0.53500482160077156</v>
      </c>
      <c r="AL1081" s="3">
        <f t="shared" si="391"/>
        <v>9.6300867888138875</v>
      </c>
      <c r="AM1081" s="3">
        <f t="shared" si="392"/>
        <v>24.075216972034717</v>
      </c>
      <c r="AN1081" s="3">
        <f t="shared" si="393"/>
        <v>0</v>
      </c>
      <c r="AO1081" s="3">
        <f t="shared" si="394"/>
        <v>24.075216972034717</v>
      </c>
      <c r="AP1081" s="1" t="str">
        <f>INDEX({"EAD";"EAD";"EAD";"EAD MOOC";"EAD";"EAD";"EAD FP";"EAD";"PRESENCIAL";"PRESENCIAL";"PRESENCIAL";"PRESENCIAL"}, MATCH(CONCATENATE(E1081, ".", F1081),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082" spans="1:42" x14ac:dyDescent="0.25">
      <c r="A1082" s="1" t="s">
        <v>27</v>
      </c>
      <c r="B1082" s="1" t="s">
        <v>56</v>
      </c>
      <c r="C1082" s="1" t="s">
        <v>29</v>
      </c>
      <c r="D1082" s="1" t="s">
        <v>57</v>
      </c>
      <c r="E1082" s="1" t="s">
        <v>170</v>
      </c>
      <c r="F1082" s="1" t="s">
        <v>21</v>
      </c>
      <c r="G1082" s="1" t="s">
        <v>128</v>
      </c>
      <c r="H1082" s="1" t="s">
        <v>176</v>
      </c>
      <c r="I1082" s="1" t="s">
        <v>172</v>
      </c>
      <c r="J1082" s="1" t="s">
        <v>125</v>
      </c>
      <c r="K1082" s="1" t="s">
        <v>163</v>
      </c>
      <c r="L1082" s="1">
        <v>2975334</v>
      </c>
      <c r="M1082" s="1" t="s">
        <v>302</v>
      </c>
      <c r="N1082" s="5">
        <f>DATE(2023,4,3)</f>
        <v>45019</v>
      </c>
      <c r="O1082" s="5">
        <f>DATE(2024,10,31)</f>
        <v>45596</v>
      </c>
      <c r="P1082" s="5">
        <f t="shared" si="375"/>
        <v>46691</v>
      </c>
      <c r="Q1082" s="1">
        <v>800</v>
      </c>
      <c r="R1082" s="1">
        <v>800</v>
      </c>
      <c r="S1082" s="1">
        <f t="shared" si="376"/>
        <v>800</v>
      </c>
      <c r="T1082" s="1">
        <v>1.5</v>
      </c>
      <c r="U1082" s="1" t="str">
        <f t="shared" si="377"/>
        <v>SIM</v>
      </c>
      <c r="V1082" s="1">
        <f t="shared" si="378"/>
        <v>578</v>
      </c>
      <c r="W1082" s="4">
        <f t="shared" si="379"/>
        <v>1.3840830449826989</v>
      </c>
      <c r="X1082" s="4">
        <f t="shared" si="380"/>
        <v>505.1903114186851</v>
      </c>
      <c r="Y1082" s="4">
        <f t="shared" si="381"/>
        <v>0.63148788927335642</v>
      </c>
      <c r="AB1082" s="5">
        <f t="shared" si="382"/>
        <v>45292</v>
      </c>
      <c r="AC1082" s="5">
        <f t="shared" si="383"/>
        <v>45657</v>
      </c>
      <c r="AD1082" s="1">
        <v>44</v>
      </c>
      <c r="AE1082" s="1">
        <f t="shared" si="384"/>
        <v>0</v>
      </c>
      <c r="AF1082" s="1">
        <f t="shared" si="385"/>
        <v>0</v>
      </c>
      <c r="AG1082" s="1">
        <f t="shared" si="386"/>
        <v>305</v>
      </c>
      <c r="AH1082" s="1">
        <f t="shared" si="387"/>
        <v>0</v>
      </c>
      <c r="AI1082" s="1">
        <f t="shared" si="388"/>
        <v>0</v>
      </c>
      <c r="AJ1082" s="3">
        <f t="shared" si="389"/>
        <v>0.83333333333333337</v>
      </c>
      <c r="AK1082" s="3">
        <f t="shared" si="390"/>
        <v>0.52623990772779705</v>
      </c>
      <c r="AL1082" s="3">
        <f t="shared" si="391"/>
        <v>23.154555940023069</v>
      </c>
      <c r="AM1082" s="3">
        <f t="shared" si="392"/>
        <v>34.731833910034602</v>
      </c>
      <c r="AN1082" s="3">
        <f t="shared" si="393"/>
        <v>0</v>
      </c>
      <c r="AO1082" s="3">
        <f t="shared" si="394"/>
        <v>34.731833910034602</v>
      </c>
      <c r="AP1082" s="1" t="str">
        <f>INDEX({"EAD";"EAD";"EAD";"EAD MOOC";"EAD";"EAD";"EAD FP";"EAD";"PRESENCIAL";"PRESENCIAL";"PRESENCIAL";"PRESENCIAL"}, MATCH(CONCATENATE(E1082, ".", F1082),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083" spans="1:42" x14ac:dyDescent="0.25">
      <c r="A1083" s="1" t="s">
        <v>27</v>
      </c>
      <c r="B1083" s="1" t="s">
        <v>56</v>
      </c>
      <c r="C1083" s="1" t="s">
        <v>29</v>
      </c>
      <c r="D1083" s="1" t="s">
        <v>57</v>
      </c>
      <c r="E1083" s="1" t="s">
        <v>120</v>
      </c>
      <c r="F1083" s="1" t="s">
        <v>21</v>
      </c>
      <c r="G1083" s="1" t="s">
        <v>128</v>
      </c>
      <c r="H1083" s="1" t="s">
        <v>208</v>
      </c>
      <c r="I1083" s="1" t="s">
        <v>209</v>
      </c>
      <c r="J1083" s="1" t="s">
        <v>125</v>
      </c>
      <c r="K1083" s="1" t="s">
        <v>130</v>
      </c>
      <c r="L1083" s="1">
        <v>3084196</v>
      </c>
      <c r="M1083" s="1" t="s">
        <v>1250</v>
      </c>
      <c r="N1083" s="5">
        <f t="shared" ref="N1083:N1088" si="401">DATE(2024,2,8)</f>
        <v>45330</v>
      </c>
      <c r="O1083" s="5">
        <f>DATE(2027,2,28)</f>
        <v>46446</v>
      </c>
      <c r="P1083" s="5">
        <f t="shared" si="375"/>
        <v>47541</v>
      </c>
      <c r="Q1083" s="1">
        <v>3672</v>
      </c>
      <c r="R1083" s="1">
        <v>1200</v>
      </c>
      <c r="S1083" s="1">
        <f t="shared" si="376"/>
        <v>3200</v>
      </c>
      <c r="T1083" s="1">
        <v>1.5</v>
      </c>
      <c r="U1083" s="1" t="str">
        <f t="shared" si="377"/>
        <v>SIM</v>
      </c>
      <c r="V1083" s="1">
        <f t="shared" si="378"/>
        <v>1117</v>
      </c>
      <c r="W1083" s="4">
        <f t="shared" si="379"/>
        <v>2.8648164726947178</v>
      </c>
      <c r="X1083" s="4">
        <f t="shared" si="380"/>
        <v>1045.658012533572</v>
      </c>
      <c r="Y1083" s="4">
        <f t="shared" si="381"/>
        <v>1.3070725156669649</v>
      </c>
      <c r="AB1083" s="5">
        <f t="shared" si="382"/>
        <v>45292</v>
      </c>
      <c r="AC1083" s="5">
        <f t="shared" si="383"/>
        <v>45657</v>
      </c>
      <c r="AD1083" s="1">
        <v>35</v>
      </c>
      <c r="AE1083" s="1">
        <f t="shared" si="384"/>
        <v>0</v>
      </c>
      <c r="AF1083" s="1">
        <f t="shared" si="385"/>
        <v>328</v>
      </c>
      <c r="AG1083" s="1">
        <f t="shared" si="386"/>
        <v>0</v>
      </c>
      <c r="AH1083" s="1">
        <f t="shared" si="387"/>
        <v>0</v>
      </c>
      <c r="AI1083" s="1">
        <f t="shared" si="388"/>
        <v>0</v>
      </c>
      <c r="AJ1083" s="3">
        <f t="shared" si="389"/>
        <v>0.89617486338797814</v>
      </c>
      <c r="AK1083" s="3">
        <f t="shared" si="390"/>
        <v>1.1713655331660231</v>
      </c>
      <c r="AL1083" s="3">
        <f t="shared" si="391"/>
        <v>40.997793660810807</v>
      </c>
      <c r="AM1083" s="3">
        <f t="shared" si="392"/>
        <v>61.496690491216214</v>
      </c>
      <c r="AN1083" s="3">
        <f t="shared" si="393"/>
        <v>0</v>
      </c>
      <c r="AO1083" s="3">
        <f t="shared" si="394"/>
        <v>61.496690491216214</v>
      </c>
      <c r="AP1083" s="1" t="str">
        <f>INDEX({"EAD";"EAD";"EAD";"EAD MOOC";"EAD";"EAD";"EAD FP";"EAD";"PRESENCIAL";"PRESENCIAL";"PRESENCIAL";"PRESENCIAL"}, MATCH(CONCATENATE(E1083, ".", F1083),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84" spans="1:42" x14ac:dyDescent="0.25">
      <c r="A1084" s="1" t="s">
        <v>27</v>
      </c>
      <c r="B1084" s="1" t="s">
        <v>56</v>
      </c>
      <c r="C1084" s="1" t="s">
        <v>29</v>
      </c>
      <c r="D1084" s="1" t="s">
        <v>57</v>
      </c>
      <c r="E1084" s="1" t="s">
        <v>120</v>
      </c>
      <c r="F1084" s="1" t="s">
        <v>21</v>
      </c>
      <c r="G1084" s="1" t="s">
        <v>128</v>
      </c>
      <c r="H1084" s="1" t="s">
        <v>890</v>
      </c>
      <c r="I1084" s="1" t="s">
        <v>191</v>
      </c>
      <c r="J1084" s="1" t="s">
        <v>125</v>
      </c>
      <c r="K1084" s="1" t="s">
        <v>130</v>
      </c>
      <c r="L1084" s="1">
        <v>3084220</v>
      </c>
      <c r="M1084" s="1" t="s">
        <v>1251</v>
      </c>
      <c r="N1084" s="5">
        <f t="shared" si="401"/>
        <v>45330</v>
      </c>
      <c r="O1084" s="5">
        <f>DATE(2027,2,28)</f>
        <v>46446</v>
      </c>
      <c r="P1084" s="5">
        <f t="shared" si="375"/>
        <v>47541</v>
      </c>
      <c r="Q1084" s="1">
        <v>3624</v>
      </c>
      <c r="R1084" s="1">
        <v>1200</v>
      </c>
      <c r="S1084" s="1">
        <f t="shared" si="376"/>
        <v>3200</v>
      </c>
      <c r="T1084" s="1">
        <v>2.5</v>
      </c>
      <c r="U1084" s="1" t="str">
        <f t="shared" si="377"/>
        <v>SIM</v>
      </c>
      <c r="V1084" s="1">
        <f t="shared" si="378"/>
        <v>1117</v>
      </c>
      <c r="W1084" s="4">
        <f t="shared" si="379"/>
        <v>2.8648164726947178</v>
      </c>
      <c r="X1084" s="4">
        <f t="shared" si="380"/>
        <v>1045.658012533572</v>
      </c>
      <c r="Y1084" s="4">
        <f t="shared" si="381"/>
        <v>1.3070725156669649</v>
      </c>
      <c r="AB1084" s="5">
        <f t="shared" si="382"/>
        <v>45292</v>
      </c>
      <c r="AC1084" s="5">
        <f t="shared" si="383"/>
        <v>45657</v>
      </c>
      <c r="AD1084" s="1">
        <v>35</v>
      </c>
      <c r="AE1084" s="1">
        <f t="shared" si="384"/>
        <v>0</v>
      </c>
      <c r="AF1084" s="1">
        <f t="shared" si="385"/>
        <v>328</v>
      </c>
      <c r="AG1084" s="1">
        <f t="shared" si="386"/>
        <v>0</v>
      </c>
      <c r="AH1084" s="1">
        <f t="shared" si="387"/>
        <v>0</v>
      </c>
      <c r="AI1084" s="1">
        <f t="shared" si="388"/>
        <v>0</v>
      </c>
      <c r="AJ1084" s="3">
        <f t="shared" si="389"/>
        <v>0.89617486338797814</v>
      </c>
      <c r="AK1084" s="3">
        <f t="shared" si="390"/>
        <v>1.1713655331660231</v>
      </c>
      <c r="AL1084" s="3">
        <f t="shared" si="391"/>
        <v>40.997793660810807</v>
      </c>
      <c r="AM1084" s="3">
        <f t="shared" si="392"/>
        <v>102.49448415202701</v>
      </c>
      <c r="AN1084" s="3">
        <f t="shared" si="393"/>
        <v>0</v>
      </c>
      <c r="AO1084" s="3">
        <f t="shared" si="394"/>
        <v>102.49448415202701</v>
      </c>
      <c r="AP1084" s="1" t="str">
        <f>INDEX({"EAD";"EAD";"EAD";"EAD MOOC";"EAD";"EAD";"EAD FP";"EAD";"PRESENCIAL";"PRESENCIAL";"PRESENCIAL";"PRESENCIAL"}, MATCH(CONCATENATE(E1084, ".", F1084),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85" spans="1:42" x14ac:dyDescent="0.25">
      <c r="A1085" s="1" t="s">
        <v>27</v>
      </c>
      <c r="B1085" s="1" t="s">
        <v>56</v>
      </c>
      <c r="C1085" s="1" t="s">
        <v>29</v>
      </c>
      <c r="D1085" s="1" t="s">
        <v>57</v>
      </c>
      <c r="E1085" s="1" t="s">
        <v>120</v>
      </c>
      <c r="F1085" s="1" t="s">
        <v>21</v>
      </c>
      <c r="G1085" s="1" t="s">
        <v>128</v>
      </c>
      <c r="H1085" s="1" t="s">
        <v>227</v>
      </c>
      <c r="I1085" s="1" t="s">
        <v>228</v>
      </c>
      <c r="J1085" s="1" t="s">
        <v>125</v>
      </c>
      <c r="K1085" s="1" t="s">
        <v>130</v>
      </c>
      <c r="L1085" s="1">
        <v>3091779</v>
      </c>
      <c r="M1085" s="1" t="s">
        <v>1252</v>
      </c>
      <c r="N1085" s="5">
        <f t="shared" si="401"/>
        <v>45330</v>
      </c>
      <c r="O1085" s="5">
        <f>DATE(2027,3,28)</f>
        <v>46474</v>
      </c>
      <c r="P1085" s="5">
        <f t="shared" si="375"/>
        <v>47569</v>
      </c>
      <c r="Q1085" s="1">
        <v>3424</v>
      </c>
      <c r="R1085" s="1">
        <v>1200</v>
      </c>
      <c r="S1085" s="1">
        <f t="shared" si="376"/>
        <v>3200</v>
      </c>
      <c r="T1085" s="1">
        <v>2.5</v>
      </c>
      <c r="U1085" s="1" t="str">
        <f t="shared" si="377"/>
        <v>SIM</v>
      </c>
      <c r="V1085" s="1">
        <f t="shared" si="378"/>
        <v>1145</v>
      </c>
      <c r="W1085" s="4">
        <f t="shared" si="379"/>
        <v>2.7947598253275108</v>
      </c>
      <c r="X1085" s="4">
        <f t="shared" si="380"/>
        <v>1020.0873362445415</v>
      </c>
      <c r="Y1085" s="4">
        <f t="shared" si="381"/>
        <v>1.2751091703056767</v>
      </c>
      <c r="AB1085" s="5">
        <f t="shared" si="382"/>
        <v>45292</v>
      </c>
      <c r="AC1085" s="5">
        <f t="shared" si="383"/>
        <v>45657</v>
      </c>
      <c r="AD1085" s="1">
        <v>33</v>
      </c>
      <c r="AE1085" s="1">
        <f t="shared" si="384"/>
        <v>0</v>
      </c>
      <c r="AF1085" s="1">
        <f t="shared" si="385"/>
        <v>328</v>
      </c>
      <c r="AG1085" s="1">
        <f t="shared" si="386"/>
        <v>0</v>
      </c>
      <c r="AH1085" s="1">
        <f t="shared" si="387"/>
        <v>0</v>
      </c>
      <c r="AI1085" s="1">
        <f t="shared" si="388"/>
        <v>0</v>
      </c>
      <c r="AJ1085" s="3">
        <f t="shared" si="389"/>
        <v>0.89617486338797814</v>
      </c>
      <c r="AK1085" s="3">
        <f t="shared" si="390"/>
        <v>1.1427207865034479</v>
      </c>
      <c r="AL1085" s="3">
        <f t="shared" si="391"/>
        <v>37.709785954613778</v>
      </c>
      <c r="AM1085" s="3">
        <f t="shared" si="392"/>
        <v>94.274464886534446</v>
      </c>
      <c r="AN1085" s="3">
        <f t="shared" si="393"/>
        <v>0</v>
      </c>
      <c r="AO1085" s="3">
        <f t="shared" si="394"/>
        <v>94.274464886534446</v>
      </c>
      <c r="AP1085" s="1" t="str">
        <f>INDEX({"EAD";"EAD";"EAD";"EAD MOOC";"EAD";"EAD";"EAD FP";"EAD";"PRESENCIAL";"PRESENCIAL";"PRESENCIAL";"PRESENCIAL"}, MATCH(CONCATENATE(E1085, ".", F1085),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86" spans="1:42" x14ac:dyDescent="0.25">
      <c r="A1086" s="1" t="s">
        <v>27</v>
      </c>
      <c r="B1086" s="1" t="s">
        <v>56</v>
      </c>
      <c r="C1086" s="1" t="s">
        <v>29</v>
      </c>
      <c r="D1086" s="1" t="s">
        <v>57</v>
      </c>
      <c r="E1086" s="1" t="s">
        <v>120</v>
      </c>
      <c r="F1086" s="1" t="s">
        <v>21</v>
      </c>
      <c r="G1086" s="1" t="s">
        <v>140</v>
      </c>
      <c r="H1086" s="1" t="s">
        <v>1146</v>
      </c>
      <c r="I1086" s="1" t="s">
        <v>209</v>
      </c>
      <c r="J1086" s="1" t="s">
        <v>125</v>
      </c>
      <c r="K1086" s="1" t="s">
        <v>109</v>
      </c>
      <c r="L1086" s="1">
        <v>3091972</v>
      </c>
      <c r="M1086" s="1" t="s">
        <v>1253</v>
      </c>
      <c r="N1086" s="5">
        <f t="shared" si="401"/>
        <v>45330</v>
      </c>
      <c r="O1086" s="5">
        <f>DATE(2027,3,28)</f>
        <v>46474</v>
      </c>
      <c r="P1086" s="5">
        <f t="shared" si="375"/>
        <v>47569</v>
      </c>
      <c r="Q1086" s="1">
        <v>2140</v>
      </c>
      <c r="R1086" s="1">
        <v>2000</v>
      </c>
      <c r="S1086" s="1">
        <f t="shared" si="376"/>
        <v>2000</v>
      </c>
      <c r="T1086" s="1">
        <v>1.5</v>
      </c>
      <c r="U1086" s="1" t="str">
        <f t="shared" si="377"/>
        <v>SIM</v>
      </c>
      <c r="V1086" s="1">
        <f t="shared" si="378"/>
        <v>1145</v>
      </c>
      <c r="W1086" s="4">
        <f t="shared" si="379"/>
        <v>1.7467248908296944</v>
      </c>
      <c r="X1086" s="4">
        <f t="shared" si="380"/>
        <v>637.5545851528384</v>
      </c>
      <c r="Y1086" s="4">
        <f t="shared" si="381"/>
        <v>0.79694323144104795</v>
      </c>
      <c r="AB1086" s="5">
        <f t="shared" si="382"/>
        <v>45292</v>
      </c>
      <c r="AC1086" s="5">
        <f t="shared" si="383"/>
        <v>45657</v>
      </c>
      <c r="AD1086" s="1">
        <v>35</v>
      </c>
      <c r="AE1086" s="1">
        <f t="shared" si="384"/>
        <v>0</v>
      </c>
      <c r="AF1086" s="1">
        <f t="shared" si="385"/>
        <v>328</v>
      </c>
      <c r="AG1086" s="1">
        <f t="shared" si="386"/>
        <v>0</v>
      </c>
      <c r="AH1086" s="1">
        <f t="shared" si="387"/>
        <v>0</v>
      </c>
      <c r="AI1086" s="1">
        <f t="shared" si="388"/>
        <v>0</v>
      </c>
      <c r="AJ1086" s="3">
        <f t="shared" si="389"/>
        <v>0.89617486338797814</v>
      </c>
      <c r="AK1086" s="3">
        <f t="shared" si="390"/>
        <v>0.71420049156465504</v>
      </c>
      <c r="AL1086" s="3">
        <f t="shared" si="391"/>
        <v>24.997017204762926</v>
      </c>
      <c r="AM1086" s="3">
        <f t="shared" si="392"/>
        <v>37.495525807144389</v>
      </c>
      <c r="AN1086" s="3">
        <f t="shared" si="393"/>
        <v>0</v>
      </c>
      <c r="AO1086" s="3">
        <f t="shared" si="394"/>
        <v>37.495525807144389</v>
      </c>
      <c r="AP1086" s="1" t="str">
        <f>INDEX({"EAD";"EAD";"EAD";"EAD MOOC";"EAD";"EAD";"EAD FP";"EAD";"PRESENCIAL";"PRESENCIAL";"PRESENCIAL";"PRESENCIAL"}, MATCH(CONCATENATE(E1086, ".", F1086),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87" spans="1:42" x14ac:dyDescent="0.25">
      <c r="A1087" s="1" t="s">
        <v>27</v>
      </c>
      <c r="B1087" s="1" t="s">
        <v>56</v>
      </c>
      <c r="C1087" s="1" t="s">
        <v>29</v>
      </c>
      <c r="D1087" s="1" t="s">
        <v>57</v>
      </c>
      <c r="E1087" s="1" t="s">
        <v>120</v>
      </c>
      <c r="F1087" s="1" t="s">
        <v>21</v>
      </c>
      <c r="G1087" s="1" t="s">
        <v>128</v>
      </c>
      <c r="H1087" s="1" t="s">
        <v>227</v>
      </c>
      <c r="I1087" s="1" t="s">
        <v>228</v>
      </c>
      <c r="J1087" s="1" t="s">
        <v>125</v>
      </c>
      <c r="K1087" s="1" t="s">
        <v>130</v>
      </c>
      <c r="L1087" s="1">
        <v>3092808</v>
      </c>
      <c r="M1087" s="1" t="s">
        <v>1254</v>
      </c>
      <c r="N1087" s="5">
        <f t="shared" si="401"/>
        <v>45330</v>
      </c>
      <c r="O1087" s="5">
        <f>DATE(2027,3,29)</f>
        <v>46475</v>
      </c>
      <c r="P1087" s="5">
        <f t="shared" si="375"/>
        <v>47570</v>
      </c>
      <c r="Q1087" s="1">
        <v>3424</v>
      </c>
      <c r="R1087" s="1">
        <v>1200</v>
      </c>
      <c r="S1087" s="1">
        <f t="shared" si="376"/>
        <v>3200</v>
      </c>
      <c r="T1087" s="1">
        <v>2.5</v>
      </c>
      <c r="U1087" s="1" t="str">
        <f t="shared" si="377"/>
        <v>SIM</v>
      </c>
      <c r="V1087" s="1">
        <f t="shared" si="378"/>
        <v>1146</v>
      </c>
      <c r="W1087" s="4">
        <f t="shared" si="379"/>
        <v>2.7923211169284468</v>
      </c>
      <c r="X1087" s="4">
        <f t="shared" si="380"/>
        <v>1019.197207678883</v>
      </c>
      <c r="Y1087" s="4">
        <f t="shared" si="381"/>
        <v>1.2739965095986039</v>
      </c>
      <c r="AB1087" s="5">
        <f t="shared" si="382"/>
        <v>45292</v>
      </c>
      <c r="AC1087" s="5">
        <f t="shared" si="383"/>
        <v>45657</v>
      </c>
      <c r="AD1087" s="1">
        <v>35</v>
      </c>
      <c r="AE1087" s="1">
        <f t="shared" si="384"/>
        <v>0</v>
      </c>
      <c r="AF1087" s="1">
        <f t="shared" si="385"/>
        <v>328</v>
      </c>
      <c r="AG1087" s="1">
        <f t="shared" si="386"/>
        <v>0</v>
      </c>
      <c r="AH1087" s="1">
        <f t="shared" si="387"/>
        <v>0</v>
      </c>
      <c r="AI1087" s="1">
        <f t="shared" si="388"/>
        <v>0</v>
      </c>
      <c r="AJ1087" s="3">
        <f t="shared" si="389"/>
        <v>0.89617486338797814</v>
      </c>
      <c r="AK1087" s="3">
        <f t="shared" si="390"/>
        <v>1.1417236479462898</v>
      </c>
      <c r="AL1087" s="3">
        <f t="shared" si="391"/>
        <v>39.960327678120144</v>
      </c>
      <c r="AM1087" s="3">
        <f t="shared" si="392"/>
        <v>99.900819195300357</v>
      </c>
      <c r="AN1087" s="3">
        <f t="shared" si="393"/>
        <v>0</v>
      </c>
      <c r="AO1087" s="3">
        <f t="shared" si="394"/>
        <v>99.900819195300357</v>
      </c>
      <c r="AP1087" s="1" t="str">
        <f>INDEX({"EAD";"EAD";"EAD";"EAD MOOC";"EAD";"EAD";"EAD FP";"EAD";"PRESENCIAL";"PRESENCIAL";"PRESENCIAL";"PRESENCIAL"}, MATCH(CONCATENATE(E1087, ".", F1087),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88" spans="1:42" x14ac:dyDescent="0.25">
      <c r="A1088" s="1" t="s">
        <v>27</v>
      </c>
      <c r="B1088" s="1" t="s">
        <v>56</v>
      </c>
      <c r="C1088" s="1" t="s">
        <v>29</v>
      </c>
      <c r="D1088" s="1" t="s">
        <v>57</v>
      </c>
      <c r="E1088" s="1" t="s">
        <v>120</v>
      </c>
      <c r="F1088" s="1" t="s">
        <v>21</v>
      </c>
      <c r="G1088" s="1" t="s">
        <v>128</v>
      </c>
      <c r="H1088" s="1" t="s">
        <v>218</v>
      </c>
      <c r="I1088" s="1" t="s">
        <v>124</v>
      </c>
      <c r="J1088" s="1" t="s">
        <v>125</v>
      </c>
      <c r="K1088" s="1" t="s">
        <v>130</v>
      </c>
      <c r="L1088" s="1">
        <v>3092818</v>
      </c>
      <c r="M1088" s="1" t="s">
        <v>1255</v>
      </c>
      <c r="N1088" s="5">
        <f t="shared" si="401"/>
        <v>45330</v>
      </c>
      <c r="O1088" s="5">
        <f>DATE(2027,3,29)</f>
        <v>46475</v>
      </c>
      <c r="P1088" s="5">
        <f t="shared" si="375"/>
        <v>47570</v>
      </c>
      <c r="Q1088" s="1">
        <v>3186</v>
      </c>
      <c r="R1088" s="1">
        <v>800</v>
      </c>
      <c r="S1088" s="1">
        <f t="shared" si="376"/>
        <v>3000</v>
      </c>
      <c r="T1088" s="1">
        <v>1.5</v>
      </c>
      <c r="U1088" s="1" t="str">
        <f t="shared" si="377"/>
        <v>SIM</v>
      </c>
      <c r="V1088" s="1">
        <f t="shared" si="378"/>
        <v>1146</v>
      </c>
      <c r="W1088" s="4">
        <f t="shared" si="379"/>
        <v>2.6178010471204187</v>
      </c>
      <c r="X1088" s="4">
        <f t="shared" si="380"/>
        <v>955.49738219895278</v>
      </c>
      <c r="Y1088" s="4">
        <f t="shared" si="381"/>
        <v>1.1943717277486909</v>
      </c>
      <c r="AB1088" s="5">
        <f t="shared" si="382"/>
        <v>45292</v>
      </c>
      <c r="AC1088" s="5">
        <f t="shared" si="383"/>
        <v>45657</v>
      </c>
      <c r="AD1088" s="1">
        <v>64</v>
      </c>
      <c r="AE1088" s="1">
        <f t="shared" si="384"/>
        <v>0</v>
      </c>
      <c r="AF1088" s="1">
        <f t="shared" si="385"/>
        <v>328</v>
      </c>
      <c r="AG1088" s="1">
        <f t="shared" si="386"/>
        <v>0</v>
      </c>
      <c r="AH1088" s="1">
        <f t="shared" si="387"/>
        <v>0</v>
      </c>
      <c r="AI1088" s="1">
        <f t="shared" si="388"/>
        <v>0</v>
      </c>
      <c r="AJ1088" s="3">
        <f t="shared" si="389"/>
        <v>0.89617486338797814</v>
      </c>
      <c r="AK1088" s="3">
        <f t="shared" si="390"/>
        <v>1.0703659199496465</v>
      </c>
      <c r="AL1088" s="3">
        <f t="shared" si="391"/>
        <v>68.503418876777374</v>
      </c>
      <c r="AM1088" s="3">
        <f t="shared" si="392"/>
        <v>102.75512831516606</v>
      </c>
      <c r="AN1088" s="3">
        <f t="shared" si="393"/>
        <v>0</v>
      </c>
      <c r="AO1088" s="3">
        <f t="shared" si="394"/>
        <v>102.75512831516606</v>
      </c>
      <c r="AP1088" s="1" t="str">
        <f>INDEX({"EAD";"EAD";"EAD";"EAD MOOC";"EAD";"EAD";"EAD FP";"EAD";"PRESENCIAL";"PRESENCIAL";"PRESENCIAL";"PRESENCIAL"}, MATCH(CONCATENATE(E1088, ".", F1088),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89" spans="1:43" x14ac:dyDescent="0.25">
      <c r="A1089" s="1" t="s">
        <v>27</v>
      </c>
      <c r="B1089" s="1" t="s">
        <v>56</v>
      </c>
      <c r="C1089" s="1" t="s">
        <v>29</v>
      </c>
      <c r="D1089" s="1" t="s">
        <v>57</v>
      </c>
      <c r="E1089" s="1" t="s">
        <v>120</v>
      </c>
      <c r="F1089" s="1" t="s">
        <v>447</v>
      </c>
      <c r="G1089" s="1" t="s">
        <v>178</v>
      </c>
      <c r="H1089" s="1" t="s">
        <v>435</v>
      </c>
      <c r="I1089" s="1" t="s">
        <v>224</v>
      </c>
      <c r="J1089" s="1" t="s">
        <v>125</v>
      </c>
      <c r="K1089" s="1" t="s">
        <v>109</v>
      </c>
      <c r="L1089" s="1">
        <v>3149641</v>
      </c>
      <c r="M1089" s="1" t="s">
        <v>1256</v>
      </c>
      <c r="N1089" s="5">
        <f>DATE(2024,8,2)</f>
        <v>45506</v>
      </c>
      <c r="O1089" s="5">
        <f>DATE(2025,7,4)</f>
        <v>45842</v>
      </c>
      <c r="P1089" s="5">
        <f t="shared" si="375"/>
        <v>46937</v>
      </c>
      <c r="Q1089" s="1">
        <v>362</v>
      </c>
      <c r="R1089" s="1">
        <v>360</v>
      </c>
      <c r="S1089" s="1">
        <f t="shared" si="376"/>
        <v>360</v>
      </c>
      <c r="T1089" s="1">
        <v>1</v>
      </c>
      <c r="U1089" s="1" t="str">
        <f t="shared" si="377"/>
        <v>SIM</v>
      </c>
      <c r="V1089" s="1">
        <f t="shared" si="378"/>
        <v>337</v>
      </c>
      <c r="W1089" s="4">
        <f t="shared" si="379"/>
        <v>1.0682492581602374</v>
      </c>
      <c r="X1089" s="4">
        <f t="shared" si="380"/>
        <v>360</v>
      </c>
      <c r="Y1089" s="4">
        <f t="shared" si="381"/>
        <v>0.45</v>
      </c>
      <c r="AB1089" s="5">
        <f t="shared" si="382"/>
        <v>45292</v>
      </c>
      <c r="AC1089" s="5">
        <f t="shared" si="383"/>
        <v>45657</v>
      </c>
      <c r="AD1089" s="1">
        <v>28</v>
      </c>
      <c r="AE1089" s="1">
        <f t="shared" si="384"/>
        <v>0</v>
      </c>
      <c r="AF1089" s="1">
        <f t="shared" si="385"/>
        <v>152</v>
      </c>
      <c r="AG1089" s="1">
        <f t="shared" si="386"/>
        <v>0</v>
      </c>
      <c r="AH1089" s="1">
        <f t="shared" si="387"/>
        <v>0</v>
      </c>
      <c r="AI1089" s="1">
        <f t="shared" si="388"/>
        <v>0</v>
      </c>
      <c r="AJ1089" s="3">
        <f t="shared" si="389"/>
        <v>0.45103857566765576</v>
      </c>
      <c r="AK1089" s="3">
        <f t="shared" si="390"/>
        <v>0.20296735905044511</v>
      </c>
      <c r="AL1089" s="3">
        <f t="shared" si="391"/>
        <v>5.6830860534124632</v>
      </c>
      <c r="AM1089" s="3">
        <f t="shared" si="392"/>
        <v>5.6830860534124632</v>
      </c>
      <c r="AN1089" s="3">
        <f t="shared" si="393"/>
        <v>0</v>
      </c>
      <c r="AO1089" s="3">
        <f t="shared" si="394"/>
        <v>5.6830860534124632</v>
      </c>
      <c r="AP1089" s="1" t="str">
        <f>INDEX({"EAD";"EAD";"EAD";"EAD MOOC";"EAD";"EAD";"EAD FP";"EAD";"PRESENCIAL";"PRESENCIAL";"PRESENCIAL";"PRESENCIAL"}, MATCH(CONCATENATE(E1089, ".", F1089),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90" spans="1:43" x14ac:dyDescent="0.25">
      <c r="A1090" s="1" t="s">
        <v>27</v>
      </c>
      <c r="B1090" s="1" t="s">
        <v>58</v>
      </c>
      <c r="C1090" s="1" t="s">
        <v>29</v>
      </c>
      <c r="D1090" s="1" t="s">
        <v>59</v>
      </c>
      <c r="E1090" s="1" t="s">
        <v>120</v>
      </c>
      <c r="F1090" s="1" t="s">
        <v>21</v>
      </c>
      <c r="G1090" s="1" t="s">
        <v>121</v>
      </c>
      <c r="H1090" s="1" t="s">
        <v>106</v>
      </c>
      <c r="I1090" s="1" t="s">
        <v>107</v>
      </c>
      <c r="J1090" s="1" t="s">
        <v>108</v>
      </c>
      <c r="K1090" s="1" t="s">
        <v>109</v>
      </c>
      <c r="L1090" s="1">
        <v>391190</v>
      </c>
      <c r="M1090" s="1" t="s">
        <v>1257</v>
      </c>
      <c r="N1090" s="5">
        <f>DATE(2010,2,1)</f>
        <v>40210</v>
      </c>
      <c r="O1090" s="5">
        <f>DATE(2014,6,27)</f>
        <v>41817</v>
      </c>
      <c r="P1090" s="5">
        <f t="shared" si="375"/>
        <v>42912</v>
      </c>
      <c r="Q1090" s="1">
        <v>4060</v>
      </c>
      <c r="R1090" s="1">
        <v>3600</v>
      </c>
      <c r="S1090" s="1">
        <f t="shared" si="376"/>
        <v>3600</v>
      </c>
      <c r="T1090" s="1">
        <v>2.5</v>
      </c>
      <c r="U1090" s="1" t="str">
        <f t="shared" si="377"/>
        <v>NÃO</v>
      </c>
      <c r="V1090" s="1">
        <f t="shared" si="378"/>
        <v>1608</v>
      </c>
      <c r="W1090" s="4">
        <f t="shared" si="379"/>
        <v>2.2388059701492535</v>
      </c>
      <c r="X1090" s="4">
        <f t="shared" si="380"/>
        <v>817.16417910447751</v>
      </c>
      <c r="Y1090" s="4">
        <f t="shared" si="381"/>
        <v>1.021455223880597</v>
      </c>
      <c r="AB1090" s="5">
        <f t="shared" si="382"/>
        <v>45292</v>
      </c>
      <c r="AC1090" s="5">
        <f t="shared" si="383"/>
        <v>45657</v>
      </c>
      <c r="AE1090" s="1">
        <f t="shared" si="384"/>
        <v>0</v>
      </c>
      <c r="AF1090" s="1">
        <f t="shared" si="385"/>
        <v>0</v>
      </c>
      <c r="AG1090" s="1">
        <f t="shared" si="386"/>
        <v>0</v>
      </c>
      <c r="AH1090" s="1">
        <f t="shared" si="387"/>
        <v>0</v>
      </c>
      <c r="AI1090" s="1">
        <f t="shared" si="388"/>
        <v>183</v>
      </c>
      <c r="AJ1090" s="3">
        <f t="shared" si="389"/>
        <v>0.5</v>
      </c>
      <c r="AK1090" s="3">
        <f t="shared" si="390"/>
        <v>0.51072761194029848</v>
      </c>
      <c r="AL1090" s="3">
        <f t="shared" si="391"/>
        <v>0</v>
      </c>
      <c r="AM1090" s="3">
        <f t="shared" si="392"/>
        <v>0</v>
      </c>
      <c r="AN1090" s="3">
        <f t="shared" si="393"/>
        <v>0</v>
      </c>
      <c r="AO1090" s="3">
        <f t="shared" si="394"/>
        <v>0</v>
      </c>
      <c r="AP1090" s="1" t="str">
        <f>INDEX({"EAD";"EAD";"EAD";"EAD MOOC";"EAD";"EAD";"EAD FP";"EAD";"PRESENCIAL";"PRESENCIAL";"PRESENCIAL";"PRESENCIAL"}, MATCH(CONCATENATE(E1090, ".", F1090),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91" spans="1:43" x14ac:dyDescent="0.25">
      <c r="A1091" s="56" t="s">
        <v>27</v>
      </c>
      <c r="B1091" s="56" t="s">
        <v>58</v>
      </c>
      <c r="C1091" s="56" t="s">
        <v>29</v>
      </c>
      <c r="D1091" s="56" t="s">
        <v>59</v>
      </c>
      <c r="E1091" s="56" t="s">
        <v>120</v>
      </c>
      <c r="F1091" s="56" t="s">
        <v>21</v>
      </c>
      <c r="G1091" s="56" t="s">
        <v>121</v>
      </c>
      <c r="H1091" s="56" t="s">
        <v>322</v>
      </c>
      <c r="I1091" s="56" t="s">
        <v>107</v>
      </c>
      <c r="J1091" s="56" t="s">
        <v>108</v>
      </c>
      <c r="K1091" s="56" t="s">
        <v>109</v>
      </c>
      <c r="L1091" s="56">
        <v>391195</v>
      </c>
      <c r="M1091" s="56" t="s">
        <v>1258</v>
      </c>
      <c r="N1091" s="57">
        <f>DATE(2010,2,1)</f>
        <v>40210</v>
      </c>
      <c r="O1091" s="57">
        <f>DATE(2014,12,15)</f>
        <v>41988</v>
      </c>
      <c r="P1091" s="57">
        <f t="shared" si="375"/>
        <v>43083</v>
      </c>
      <c r="Q1091" s="56">
        <v>4450</v>
      </c>
      <c r="R1091" s="56">
        <v>3600</v>
      </c>
      <c r="S1091" s="56">
        <f t="shared" si="376"/>
        <v>3600</v>
      </c>
      <c r="T1091" s="56">
        <v>2.5</v>
      </c>
      <c r="U1091" s="56" t="str">
        <f t="shared" si="377"/>
        <v>NÃO</v>
      </c>
      <c r="V1091" s="56">
        <f t="shared" si="378"/>
        <v>1779</v>
      </c>
      <c r="W1091" s="58">
        <f t="shared" si="379"/>
        <v>2.0236087689713322</v>
      </c>
      <c r="X1091" s="58">
        <f t="shared" si="380"/>
        <v>738.61720067453632</v>
      </c>
      <c r="Y1091" s="58">
        <f t="shared" si="381"/>
        <v>0.92327150084317045</v>
      </c>
      <c r="Z1091" s="58"/>
      <c r="AA1091" s="58"/>
      <c r="AB1091" s="57">
        <f t="shared" si="382"/>
        <v>45292</v>
      </c>
      <c r="AC1091" s="57">
        <f t="shared" si="383"/>
        <v>45657</v>
      </c>
      <c r="AD1091" s="56">
        <v>1</v>
      </c>
      <c r="AE1091" s="56">
        <f t="shared" si="384"/>
        <v>0</v>
      </c>
      <c r="AF1091" s="56">
        <f t="shared" si="385"/>
        <v>0</v>
      </c>
      <c r="AG1091" s="56">
        <f t="shared" si="386"/>
        <v>0</v>
      </c>
      <c r="AH1091" s="56">
        <f t="shared" si="387"/>
        <v>0</v>
      </c>
      <c r="AI1091" s="56">
        <f t="shared" si="388"/>
        <v>183</v>
      </c>
      <c r="AJ1091" s="59">
        <f t="shared" si="389"/>
        <v>0.5</v>
      </c>
      <c r="AK1091" s="59">
        <f t="shared" si="390"/>
        <v>0.46163575042158522</v>
      </c>
      <c r="AL1091" s="59">
        <f t="shared" si="391"/>
        <v>0</v>
      </c>
      <c r="AM1091" s="59">
        <f t="shared" si="392"/>
        <v>0</v>
      </c>
      <c r="AN1091" s="59">
        <f t="shared" si="393"/>
        <v>0</v>
      </c>
      <c r="AO1091" s="59">
        <f t="shared" si="394"/>
        <v>0</v>
      </c>
      <c r="AP1091" s="56" t="str">
        <f>INDEX({"EAD";"EAD";"EAD";"EAD MOOC";"EAD";"EAD";"EAD FP";"EAD";"PRESENCIAL";"PRESENCIAL";"PRESENCIAL";"PRESENCIAL"}, MATCH(CONCATENATE(E1091, ".", F1091),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091" s="56"/>
    </row>
    <row r="1092" spans="1:43" x14ac:dyDescent="0.25">
      <c r="A1092" s="56" t="s">
        <v>27</v>
      </c>
      <c r="B1092" s="56" t="s">
        <v>58</v>
      </c>
      <c r="C1092" s="56" t="s">
        <v>29</v>
      </c>
      <c r="D1092" s="56" t="s">
        <v>59</v>
      </c>
      <c r="E1092" s="56" t="s">
        <v>120</v>
      </c>
      <c r="F1092" s="56" t="s">
        <v>21</v>
      </c>
      <c r="G1092" s="56" t="s">
        <v>121</v>
      </c>
      <c r="H1092" s="56" t="s">
        <v>322</v>
      </c>
      <c r="I1092" s="56" t="s">
        <v>107</v>
      </c>
      <c r="J1092" s="56" t="s">
        <v>108</v>
      </c>
      <c r="K1092" s="56" t="s">
        <v>109</v>
      </c>
      <c r="L1092" s="56">
        <v>800500</v>
      </c>
      <c r="M1092" s="56" t="s">
        <v>1259</v>
      </c>
      <c r="N1092" s="57">
        <f>DATE(2011,2,14)</f>
        <v>40588</v>
      </c>
      <c r="O1092" s="57">
        <f>DATE(2015,12,11)</f>
        <v>42349</v>
      </c>
      <c r="P1092" s="57">
        <f t="shared" ref="P1092:P1155" si="402">IF(G1092="QUALIFICACAO PROFISSIONAL (FIC)",O1092,O1092+1095)</f>
        <v>43444</v>
      </c>
      <c r="Q1092" s="56">
        <v>4390</v>
      </c>
      <c r="R1092" s="56">
        <v>3600</v>
      </c>
      <c r="S1092" s="56">
        <f t="shared" ref="S1092:S1155" si="403">IF(OR(G1092="QUALIFICACAO PROFISSIONAL (FIC)",G1092="DOUTORADO"),Q1092,    IF(ISNUMBER(FIND("PROEJA",K1092)),2400,        IF(K1092="INTEGRADO",            IF(R1092=800,3000,                IF(R1092=1000,3100,                    IF(R1092=1200,3200,R1092)                )            ),            R1092        )    ))</f>
        <v>3600</v>
      </c>
      <c r="T1092" s="56">
        <v>2.5</v>
      </c>
      <c r="U1092" s="56" t="str">
        <f t="shared" ref="U1092:U1155" si="404">IF(P1092&lt;AB1092,"NÃO","SIM")</f>
        <v>NÃO</v>
      </c>
      <c r="V1092" s="56">
        <f t="shared" ref="V1092:V1155" si="405">O1092-N1092+1</f>
        <v>1762</v>
      </c>
      <c r="W1092" s="58">
        <f t="shared" ref="W1092:W1155" si="406">IF(S1092&gt;Q1092,Q1092,S1092)/V1092</f>
        <v>2.0431328036322363</v>
      </c>
      <c r="X1092" s="58">
        <f t="shared" ref="X1092:X1155" si="407">IF(V1092&gt;365,W1092*365,S1092)</f>
        <v>745.74347332576622</v>
      </c>
      <c r="Y1092" s="58">
        <f t="shared" ref="Y1092:Y1155" si="408">IF(V1092&gt;365,X1092/800,S1092/800)</f>
        <v>0.93217934165720773</v>
      </c>
      <c r="Z1092" s="58"/>
      <c r="AA1092" s="58"/>
      <c r="AB1092" s="57">
        <f t="shared" ref="AB1092:AB1155" si="409">DATE(2024,1,1)</f>
        <v>45292</v>
      </c>
      <c r="AC1092" s="57">
        <f t="shared" ref="AC1092:AC1155" si="410">DATE(2024,12,31)</f>
        <v>45657</v>
      </c>
      <c r="AD1092" s="56"/>
      <c r="AE1092" s="56">
        <f t="shared" ref="AE1092:AE1155" si="411">IF(AND(N1092&lt;AB1092,O1092&gt;AC1092),AC1092-AB1092+1,0)</f>
        <v>0</v>
      </c>
      <c r="AF1092" s="56">
        <f t="shared" ref="AF1092:AF1155" si="412">IF(AND(N1092&gt;=AB1092,O1092&gt;AC1092,N1092&lt;AC1092),AC1092-N1092+1,0)</f>
        <v>0</v>
      </c>
      <c r="AG1092" s="56">
        <f t="shared" ref="AG1092:AG1155" si="413">IF(AND(N1092&lt;AB1092,O1092&lt;=AC1092,O1092&gt;=AB1092),O1092-AB1092+1,0)</f>
        <v>0</v>
      </c>
      <c r="AH1092" s="56">
        <f t="shared" ref="AH1092:AH1155" si="414">IF(AND(N1092&gt;=AB1092,O1092&lt;=AC1092),O1092-N1092+1,0)</f>
        <v>0</v>
      </c>
      <c r="AI1092" s="56">
        <f t="shared" ref="AI1092:AI1155" si="415">IF(AND(N1092&lt;AB1092,O1092&lt;AB1092),(AC1092-AB1092+1)/2,0)</f>
        <v>183</v>
      </c>
      <c r="AJ1092" s="59">
        <f t="shared" ref="AJ1092:AJ1155" si="416">SUM(AE1092:AI1092)/IF(V1092&gt;=365,AC1092-AB1092+1,V1092)</f>
        <v>0.5</v>
      </c>
      <c r="AK1092" s="59">
        <f t="shared" ref="AK1092:AK1155" si="417">Y1092*AJ1092</f>
        <v>0.46608967082860386</v>
      </c>
      <c r="AL1092" s="59">
        <f t="shared" ref="AL1092:AL1155" si="418">IF(AI1092=0,AK1092*AD1092,IF(U1092="SIM",AK1092*(AD1092/2),0))</f>
        <v>0</v>
      </c>
      <c r="AM1092" s="59">
        <f t="shared" ref="AM1092:AM1155" si="419">AL1092*T1092</f>
        <v>0</v>
      </c>
      <c r="AN1092" s="59">
        <f t="shared" ref="AN1092:AN1155" si="420">IF(J1092="SIM",AM1092*50%,0)</f>
        <v>0</v>
      </c>
      <c r="AO1092" s="59">
        <f t="shared" ref="AO1092:AO1155" si="421">IF(U1092="SIM",AM1092+AN1092,0)</f>
        <v>0</v>
      </c>
      <c r="AP1092" s="56" t="str">
        <f>INDEX({"EAD";"EAD";"EAD";"EAD MOOC";"EAD";"EAD";"EAD FP";"EAD";"PRESENCIAL";"PRESENCIAL";"PRESENCIAL";"PRESENCIAL"}, MATCH(CONCATENATE(E1092, ".", F1092),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092" s="56"/>
    </row>
    <row r="1093" spans="1:43" x14ac:dyDescent="0.25">
      <c r="A1093" s="56" t="s">
        <v>27</v>
      </c>
      <c r="B1093" s="56" t="s">
        <v>58</v>
      </c>
      <c r="C1093" s="56" t="s">
        <v>29</v>
      </c>
      <c r="D1093" s="56" t="s">
        <v>59</v>
      </c>
      <c r="E1093" s="56" t="s">
        <v>120</v>
      </c>
      <c r="F1093" s="56" t="s">
        <v>21</v>
      </c>
      <c r="G1093" s="56" t="s">
        <v>121</v>
      </c>
      <c r="H1093" s="56" t="s">
        <v>322</v>
      </c>
      <c r="I1093" s="56" t="s">
        <v>107</v>
      </c>
      <c r="J1093" s="56" t="s">
        <v>108</v>
      </c>
      <c r="K1093" s="56" t="s">
        <v>109</v>
      </c>
      <c r="L1093" s="56">
        <v>1255845</v>
      </c>
      <c r="M1093" s="56" t="s">
        <v>1260</v>
      </c>
      <c r="N1093" s="57">
        <f>DATE(2012,5,7)</f>
        <v>41036</v>
      </c>
      <c r="O1093" s="57">
        <f>DATE(2016,12,23)</f>
        <v>42727</v>
      </c>
      <c r="P1093" s="57">
        <f t="shared" si="402"/>
        <v>43822</v>
      </c>
      <c r="Q1093" s="56">
        <v>4390</v>
      </c>
      <c r="R1093" s="56">
        <v>3600</v>
      </c>
      <c r="S1093" s="56">
        <f t="shared" si="403"/>
        <v>3600</v>
      </c>
      <c r="T1093" s="56">
        <v>2.5</v>
      </c>
      <c r="U1093" s="56" t="str">
        <f t="shared" si="404"/>
        <v>NÃO</v>
      </c>
      <c r="V1093" s="56">
        <f t="shared" si="405"/>
        <v>1692</v>
      </c>
      <c r="W1093" s="58">
        <f t="shared" si="406"/>
        <v>2.1276595744680851</v>
      </c>
      <c r="X1093" s="58">
        <f t="shared" si="407"/>
        <v>776.595744680851</v>
      </c>
      <c r="Y1093" s="58">
        <f t="shared" si="408"/>
        <v>0.9707446808510638</v>
      </c>
      <c r="Z1093" s="58"/>
      <c r="AA1093" s="58"/>
      <c r="AB1093" s="57">
        <f t="shared" si="409"/>
        <v>45292</v>
      </c>
      <c r="AC1093" s="57">
        <f t="shared" si="410"/>
        <v>45657</v>
      </c>
      <c r="AD1093" s="56">
        <v>1</v>
      </c>
      <c r="AE1093" s="56">
        <f t="shared" si="411"/>
        <v>0</v>
      </c>
      <c r="AF1093" s="56">
        <f t="shared" si="412"/>
        <v>0</v>
      </c>
      <c r="AG1093" s="56">
        <f t="shared" si="413"/>
        <v>0</v>
      </c>
      <c r="AH1093" s="56">
        <f t="shared" si="414"/>
        <v>0</v>
      </c>
      <c r="AI1093" s="56">
        <f t="shared" si="415"/>
        <v>183</v>
      </c>
      <c r="AJ1093" s="59">
        <f t="shared" si="416"/>
        <v>0.5</v>
      </c>
      <c r="AK1093" s="59">
        <f t="shared" si="417"/>
        <v>0.4853723404255319</v>
      </c>
      <c r="AL1093" s="59">
        <f t="shared" si="418"/>
        <v>0</v>
      </c>
      <c r="AM1093" s="59">
        <f t="shared" si="419"/>
        <v>0</v>
      </c>
      <c r="AN1093" s="59">
        <f t="shared" si="420"/>
        <v>0</v>
      </c>
      <c r="AO1093" s="59">
        <f t="shared" si="421"/>
        <v>0</v>
      </c>
      <c r="AP1093" s="56" t="str">
        <f>INDEX({"EAD";"EAD";"EAD";"EAD MOOC";"EAD";"EAD";"EAD FP";"EAD";"PRESENCIAL";"PRESENCIAL";"PRESENCIAL";"PRESENCIAL"}, MATCH(CONCATENATE(E1093, ".", F1093),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093" s="56"/>
    </row>
    <row r="1094" spans="1:43" x14ac:dyDescent="0.25">
      <c r="A1094" s="56" t="s">
        <v>27</v>
      </c>
      <c r="B1094" s="56" t="s">
        <v>58</v>
      </c>
      <c r="C1094" s="56" t="s">
        <v>29</v>
      </c>
      <c r="D1094" s="56" t="s">
        <v>59</v>
      </c>
      <c r="E1094" s="56" t="s">
        <v>120</v>
      </c>
      <c r="F1094" s="56" t="s">
        <v>21</v>
      </c>
      <c r="G1094" s="56" t="s">
        <v>121</v>
      </c>
      <c r="H1094" s="56" t="s">
        <v>322</v>
      </c>
      <c r="I1094" s="56" t="s">
        <v>107</v>
      </c>
      <c r="J1094" s="56" t="s">
        <v>108</v>
      </c>
      <c r="K1094" s="56" t="s">
        <v>109</v>
      </c>
      <c r="L1094" s="56">
        <v>1944553</v>
      </c>
      <c r="M1094" s="56" t="s">
        <v>1260</v>
      </c>
      <c r="N1094" s="57">
        <f>DATE(2014,5,5)</f>
        <v>41764</v>
      </c>
      <c r="O1094" s="57">
        <f>DATE(2018,12,20)</f>
        <v>43454</v>
      </c>
      <c r="P1094" s="57">
        <f t="shared" si="402"/>
        <v>44549</v>
      </c>
      <c r="Q1094" s="56">
        <v>4450</v>
      </c>
      <c r="R1094" s="56">
        <v>3600</v>
      </c>
      <c r="S1094" s="56">
        <f t="shared" si="403"/>
        <v>3600</v>
      </c>
      <c r="T1094" s="56">
        <v>2.5</v>
      </c>
      <c r="U1094" s="56" t="str">
        <f t="shared" si="404"/>
        <v>NÃO</v>
      </c>
      <c r="V1094" s="56">
        <f t="shared" si="405"/>
        <v>1691</v>
      </c>
      <c r="W1094" s="58">
        <f t="shared" si="406"/>
        <v>2.1289178001182734</v>
      </c>
      <c r="X1094" s="58">
        <f t="shared" si="407"/>
        <v>777.05499704316981</v>
      </c>
      <c r="Y1094" s="58">
        <f t="shared" si="408"/>
        <v>0.97131874630396231</v>
      </c>
      <c r="Z1094" s="58"/>
      <c r="AA1094" s="58"/>
      <c r="AB1094" s="57">
        <f t="shared" si="409"/>
        <v>45292</v>
      </c>
      <c r="AC1094" s="57">
        <f t="shared" si="410"/>
        <v>45657</v>
      </c>
      <c r="AD1094" s="56"/>
      <c r="AE1094" s="56">
        <f t="shared" si="411"/>
        <v>0</v>
      </c>
      <c r="AF1094" s="56">
        <f t="shared" si="412"/>
        <v>0</v>
      </c>
      <c r="AG1094" s="56">
        <f t="shared" si="413"/>
        <v>0</v>
      </c>
      <c r="AH1094" s="56">
        <f t="shared" si="414"/>
        <v>0</v>
      </c>
      <c r="AI1094" s="56">
        <f t="shared" si="415"/>
        <v>183</v>
      </c>
      <c r="AJ1094" s="59">
        <f t="shared" si="416"/>
        <v>0.5</v>
      </c>
      <c r="AK1094" s="59">
        <f t="shared" si="417"/>
        <v>0.48565937315198116</v>
      </c>
      <c r="AL1094" s="59">
        <f t="shared" si="418"/>
        <v>0</v>
      </c>
      <c r="AM1094" s="59">
        <f t="shared" si="419"/>
        <v>0</v>
      </c>
      <c r="AN1094" s="59">
        <f t="shared" si="420"/>
        <v>0</v>
      </c>
      <c r="AO1094" s="59">
        <f t="shared" si="421"/>
        <v>0</v>
      </c>
      <c r="AP1094" s="56" t="str">
        <f>INDEX({"EAD";"EAD";"EAD";"EAD MOOC";"EAD";"EAD";"EAD FP";"EAD";"PRESENCIAL";"PRESENCIAL";"PRESENCIAL";"PRESENCIAL"}, MATCH(CONCATENATE(E1094, ".", F1094),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094" s="56"/>
    </row>
    <row r="1095" spans="1:43" x14ac:dyDescent="0.25">
      <c r="A1095" s="56" t="s">
        <v>27</v>
      </c>
      <c r="B1095" s="56" t="s">
        <v>58</v>
      </c>
      <c r="C1095" s="56" t="s">
        <v>29</v>
      </c>
      <c r="D1095" s="56" t="s">
        <v>59</v>
      </c>
      <c r="E1095" s="56" t="s">
        <v>120</v>
      </c>
      <c r="F1095" s="56" t="s">
        <v>21</v>
      </c>
      <c r="G1095" s="56" t="s">
        <v>121</v>
      </c>
      <c r="H1095" s="56" t="s">
        <v>322</v>
      </c>
      <c r="I1095" s="56" t="s">
        <v>107</v>
      </c>
      <c r="J1095" s="56" t="s">
        <v>108</v>
      </c>
      <c r="K1095" s="56" t="s">
        <v>109</v>
      </c>
      <c r="L1095" s="56">
        <v>1985805</v>
      </c>
      <c r="M1095" s="56" t="s">
        <v>1261</v>
      </c>
      <c r="N1095" s="57">
        <f>DATE(2015,3,23)</f>
        <v>42086</v>
      </c>
      <c r="O1095" s="57">
        <f>DATE(2019,12,20)</f>
        <v>43819</v>
      </c>
      <c r="P1095" s="57">
        <f t="shared" si="402"/>
        <v>44914</v>
      </c>
      <c r="Q1095" s="56">
        <v>4390</v>
      </c>
      <c r="R1095" s="56">
        <v>3600</v>
      </c>
      <c r="S1095" s="56">
        <f t="shared" si="403"/>
        <v>3600</v>
      </c>
      <c r="T1095" s="56">
        <v>2.5</v>
      </c>
      <c r="U1095" s="56" t="str">
        <f t="shared" si="404"/>
        <v>NÃO</v>
      </c>
      <c r="V1095" s="56">
        <f t="shared" si="405"/>
        <v>1734</v>
      </c>
      <c r="W1095" s="58">
        <f t="shared" si="406"/>
        <v>2.0761245674740483</v>
      </c>
      <c r="X1095" s="58">
        <f t="shared" si="407"/>
        <v>757.78546712802768</v>
      </c>
      <c r="Y1095" s="58">
        <f t="shared" si="408"/>
        <v>0.94723183391003463</v>
      </c>
      <c r="Z1095" s="58"/>
      <c r="AA1095" s="58"/>
      <c r="AB1095" s="57">
        <f t="shared" si="409"/>
        <v>45292</v>
      </c>
      <c r="AC1095" s="57">
        <f t="shared" si="410"/>
        <v>45657</v>
      </c>
      <c r="AD1095" s="56">
        <v>5</v>
      </c>
      <c r="AE1095" s="56">
        <f t="shared" si="411"/>
        <v>0</v>
      </c>
      <c r="AF1095" s="56">
        <f t="shared" si="412"/>
        <v>0</v>
      </c>
      <c r="AG1095" s="56">
        <f t="shared" si="413"/>
        <v>0</v>
      </c>
      <c r="AH1095" s="56">
        <f t="shared" si="414"/>
        <v>0</v>
      </c>
      <c r="AI1095" s="56">
        <f t="shared" si="415"/>
        <v>183</v>
      </c>
      <c r="AJ1095" s="59">
        <f t="shared" si="416"/>
        <v>0.5</v>
      </c>
      <c r="AK1095" s="59">
        <f t="shared" si="417"/>
        <v>0.47361591695501731</v>
      </c>
      <c r="AL1095" s="59">
        <f t="shared" si="418"/>
        <v>0</v>
      </c>
      <c r="AM1095" s="59">
        <f t="shared" si="419"/>
        <v>0</v>
      </c>
      <c r="AN1095" s="59">
        <f t="shared" si="420"/>
        <v>0</v>
      </c>
      <c r="AO1095" s="59">
        <f t="shared" si="421"/>
        <v>0</v>
      </c>
      <c r="AP1095" s="56" t="str">
        <f>INDEX({"EAD";"EAD";"EAD";"EAD MOOC";"EAD";"EAD";"EAD FP";"EAD";"PRESENCIAL";"PRESENCIAL";"PRESENCIAL";"PRESENCIAL"}, MATCH(CONCATENATE(E1095, ".", F1095),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095" s="56"/>
    </row>
    <row r="1096" spans="1:43" x14ac:dyDescent="0.25">
      <c r="A1096" s="56" t="s">
        <v>27</v>
      </c>
      <c r="B1096" s="56" t="s">
        <v>58</v>
      </c>
      <c r="C1096" s="56" t="s">
        <v>29</v>
      </c>
      <c r="D1096" s="56" t="s">
        <v>59</v>
      </c>
      <c r="E1096" s="56" t="s">
        <v>120</v>
      </c>
      <c r="F1096" s="56" t="s">
        <v>21</v>
      </c>
      <c r="G1096" s="56" t="s">
        <v>121</v>
      </c>
      <c r="H1096" s="56" t="s">
        <v>322</v>
      </c>
      <c r="I1096" s="56" t="s">
        <v>107</v>
      </c>
      <c r="J1096" s="56" t="s">
        <v>108</v>
      </c>
      <c r="K1096" s="56" t="s">
        <v>109</v>
      </c>
      <c r="L1096" s="56">
        <v>1986059</v>
      </c>
      <c r="M1096" s="56" t="s">
        <v>1261</v>
      </c>
      <c r="N1096" s="57">
        <f>DATE(2015,3,23)</f>
        <v>42086</v>
      </c>
      <c r="O1096" s="57">
        <f>DATE(2019,12,20)</f>
        <v>43819</v>
      </c>
      <c r="P1096" s="57">
        <f t="shared" si="402"/>
        <v>44914</v>
      </c>
      <c r="Q1096" s="56">
        <v>4450</v>
      </c>
      <c r="R1096" s="56">
        <v>3600</v>
      </c>
      <c r="S1096" s="56">
        <f t="shared" si="403"/>
        <v>3600</v>
      </c>
      <c r="T1096" s="56">
        <v>2.5</v>
      </c>
      <c r="U1096" s="56" t="str">
        <f t="shared" si="404"/>
        <v>NÃO</v>
      </c>
      <c r="V1096" s="56">
        <f t="shared" si="405"/>
        <v>1734</v>
      </c>
      <c r="W1096" s="58">
        <f t="shared" si="406"/>
        <v>2.0761245674740483</v>
      </c>
      <c r="X1096" s="58">
        <f t="shared" si="407"/>
        <v>757.78546712802768</v>
      </c>
      <c r="Y1096" s="58">
        <f t="shared" si="408"/>
        <v>0.94723183391003463</v>
      </c>
      <c r="Z1096" s="58"/>
      <c r="AA1096" s="58"/>
      <c r="AB1096" s="57">
        <f t="shared" si="409"/>
        <v>45292</v>
      </c>
      <c r="AC1096" s="57">
        <f t="shared" si="410"/>
        <v>45657</v>
      </c>
      <c r="AD1096" s="56">
        <v>1</v>
      </c>
      <c r="AE1096" s="56">
        <f t="shared" si="411"/>
        <v>0</v>
      </c>
      <c r="AF1096" s="56">
        <f t="shared" si="412"/>
        <v>0</v>
      </c>
      <c r="AG1096" s="56">
        <f t="shared" si="413"/>
        <v>0</v>
      </c>
      <c r="AH1096" s="56">
        <f t="shared" si="414"/>
        <v>0</v>
      </c>
      <c r="AI1096" s="56">
        <f t="shared" si="415"/>
        <v>183</v>
      </c>
      <c r="AJ1096" s="59">
        <f t="shared" si="416"/>
        <v>0.5</v>
      </c>
      <c r="AK1096" s="59">
        <f t="shared" si="417"/>
        <v>0.47361591695501731</v>
      </c>
      <c r="AL1096" s="59">
        <f t="shared" si="418"/>
        <v>0</v>
      </c>
      <c r="AM1096" s="59">
        <f t="shared" si="419"/>
        <v>0</v>
      </c>
      <c r="AN1096" s="59">
        <f t="shared" si="420"/>
        <v>0</v>
      </c>
      <c r="AO1096" s="59">
        <f t="shared" si="421"/>
        <v>0</v>
      </c>
      <c r="AP1096" s="56" t="str">
        <f>INDEX({"EAD";"EAD";"EAD";"EAD MOOC";"EAD";"EAD";"EAD FP";"EAD";"PRESENCIAL";"PRESENCIAL";"PRESENCIAL";"PRESENCIAL"}, MATCH(CONCATENATE(E1096, ".", F1096),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096" s="56"/>
    </row>
    <row r="1097" spans="1:43" x14ac:dyDescent="0.25">
      <c r="A1097" s="1" t="s">
        <v>27</v>
      </c>
      <c r="B1097" s="1" t="s">
        <v>58</v>
      </c>
      <c r="C1097" s="1" t="s">
        <v>29</v>
      </c>
      <c r="D1097" s="1" t="s">
        <v>59</v>
      </c>
      <c r="E1097" s="1" t="s">
        <v>120</v>
      </c>
      <c r="F1097" s="1" t="s">
        <v>21</v>
      </c>
      <c r="G1097" s="1" t="s">
        <v>121</v>
      </c>
      <c r="H1097" s="1" t="s">
        <v>106</v>
      </c>
      <c r="I1097" s="1" t="s">
        <v>107</v>
      </c>
      <c r="J1097" s="1" t="s">
        <v>108</v>
      </c>
      <c r="K1097" s="1" t="s">
        <v>109</v>
      </c>
      <c r="L1097" s="1">
        <v>1986523</v>
      </c>
      <c r="M1097" s="1" t="s">
        <v>1262</v>
      </c>
      <c r="N1097" s="5">
        <f>DATE(2015,3,23)</f>
        <v>42086</v>
      </c>
      <c r="O1097" s="5">
        <f>DATE(2019,12,20)</f>
        <v>43819</v>
      </c>
      <c r="P1097" s="5">
        <f t="shared" si="402"/>
        <v>44914</v>
      </c>
      <c r="Q1097" s="1">
        <v>4450</v>
      </c>
      <c r="R1097" s="1">
        <v>3600</v>
      </c>
      <c r="S1097" s="1">
        <f t="shared" si="403"/>
        <v>3600</v>
      </c>
      <c r="T1097" s="1">
        <v>2.5</v>
      </c>
      <c r="U1097" s="1" t="str">
        <f t="shared" si="404"/>
        <v>NÃO</v>
      </c>
      <c r="V1097" s="1">
        <f t="shared" si="405"/>
        <v>1734</v>
      </c>
      <c r="W1097" s="4">
        <f t="shared" si="406"/>
        <v>2.0761245674740483</v>
      </c>
      <c r="X1097" s="4">
        <f t="shared" si="407"/>
        <v>757.78546712802768</v>
      </c>
      <c r="Y1097" s="4">
        <f t="shared" si="408"/>
        <v>0.94723183391003463</v>
      </c>
      <c r="AB1097" s="5">
        <f t="shared" si="409"/>
        <v>45292</v>
      </c>
      <c r="AC1097" s="5">
        <f t="shared" si="410"/>
        <v>45657</v>
      </c>
      <c r="AE1097" s="1">
        <f t="shared" si="411"/>
        <v>0</v>
      </c>
      <c r="AF1097" s="1">
        <f t="shared" si="412"/>
        <v>0</v>
      </c>
      <c r="AG1097" s="1">
        <f t="shared" si="413"/>
        <v>0</v>
      </c>
      <c r="AH1097" s="1">
        <f t="shared" si="414"/>
        <v>0</v>
      </c>
      <c r="AI1097" s="1">
        <f t="shared" si="415"/>
        <v>183</v>
      </c>
      <c r="AJ1097" s="3">
        <f t="shared" si="416"/>
        <v>0.5</v>
      </c>
      <c r="AK1097" s="3">
        <f t="shared" si="417"/>
        <v>0.47361591695501731</v>
      </c>
      <c r="AL1097" s="3">
        <f t="shared" si="418"/>
        <v>0</v>
      </c>
      <c r="AM1097" s="3">
        <f t="shared" si="419"/>
        <v>0</v>
      </c>
      <c r="AN1097" s="3">
        <f t="shared" si="420"/>
        <v>0</v>
      </c>
      <c r="AO1097" s="3">
        <f t="shared" si="421"/>
        <v>0</v>
      </c>
      <c r="AP1097" s="1" t="str">
        <f>INDEX({"EAD";"EAD";"EAD";"EAD MOOC";"EAD";"EAD";"EAD FP";"EAD";"PRESENCIAL";"PRESENCIAL";"PRESENCIAL";"PRESENCIAL"}, MATCH(CONCATENATE(E1097, ".", F1097),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98" spans="1:43" x14ac:dyDescent="0.25">
      <c r="A1098" s="1" t="s">
        <v>27</v>
      </c>
      <c r="B1098" s="1" t="s">
        <v>58</v>
      </c>
      <c r="C1098" s="1" t="s">
        <v>29</v>
      </c>
      <c r="D1098" s="1" t="s">
        <v>59</v>
      </c>
      <c r="E1098" s="1" t="s">
        <v>120</v>
      </c>
      <c r="F1098" s="1" t="s">
        <v>21</v>
      </c>
      <c r="G1098" s="1" t="s">
        <v>121</v>
      </c>
      <c r="H1098" s="1" t="s">
        <v>106</v>
      </c>
      <c r="I1098" s="1" t="s">
        <v>107</v>
      </c>
      <c r="J1098" s="1" t="s">
        <v>108</v>
      </c>
      <c r="K1098" s="1" t="s">
        <v>109</v>
      </c>
      <c r="L1098" s="1">
        <v>2021674</v>
      </c>
      <c r="M1098" s="1" t="s">
        <v>1263</v>
      </c>
      <c r="N1098" s="5">
        <f>DATE(2016,4,25)</f>
        <v>42485</v>
      </c>
      <c r="O1098" s="5">
        <f>DATE(2020,12,21)</f>
        <v>44186</v>
      </c>
      <c r="P1098" s="5">
        <f t="shared" si="402"/>
        <v>45281</v>
      </c>
      <c r="Q1098" s="1">
        <v>4450</v>
      </c>
      <c r="R1098" s="1">
        <v>3600</v>
      </c>
      <c r="S1098" s="1">
        <f t="shared" si="403"/>
        <v>3600</v>
      </c>
      <c r="T1098" s="1">
        <v>2.5</v>
      </c>
      <c r="U1098" s="1" t="str">
        <f t="shared" si="404"/>
        <v>NÃO</v>
      </c>
      <c r="V1098" s="1">
        <f t="shared" si="405"/>
        <v>1702</v>
      </c>
      <c r="W1098" s="4">
        <f t="shared" si="406"/>
        <v>2.1151586368977675</v>
      </c>
      <c r="X1098" s="4">
        <f t="shared" si="407"/>
        <v>772.03290246768518</v>
      </c>
      <c r="Y1098" s="4">
        <f t="shared" si="408"/>
        <v>0.96504112808460651</v>
      </c>
      <c r="AB1098" s="5">
        <f t="shared" si="409"/>
        <v>45292</v>
      </c>
      <c r="AC1098" s="5">
        <f t="shared" si="410"/>
        <v>45657</v>
      </c>
      <c r="AD1098" s="1">
        <v>1</v>
      </c>
      <c r="AE1098" s="1">
        <f t="shared" si="411"/>
        <v>0</v>
      </c>
      <c r="AF1098" s="1">
        <f t="shared" si="412"/>
        <v>0</v>
      </c>
      <c r="AG1098" s="1">
        <f t="shared" si="413"/>
        <v>0</v>
      </c>
      <c r="AH1098" s="1">
        <f t="shared" si="414"/>
        <v>0</v>
      </c>
      <c r="AI1098" s="1">
        <f t="shared" si="415"/>
        <v>183</v>
      </c>
      <c r="AJ1098" s="3">
        <f t="shared" si="416"/>
        <v>0.5</v>
      </c>
      <c r="AK1098" s="3">
        <f t="shared" si="417"/>
        <v>0.48252056404230326</v>
      </c>
      <c r="AL1098" s="3">
        <f t="shared" si="418"/>
        <v>0</v>
      </c>
      <c r="AM1098" s="3">
        <f t="shared" si="419"/>
        <v>0</v>
      </c>
      <c r="AN1098" s="3">
        <f t="shared" si="420"/>
        <v>0</v>
      </c>
      <c r="AO1098" s="3">
        <f t="shared" si="421"/>
        <v>0</v>
      </c>
      <c r="AP1098" s="1" t="str">
        <f>INDEX({"EAD";"EAD";"EAD";"EAD MOOC";"EAD";"EAD";"EAD FP";"EAD";"PRESENCIAL";"PRESENCIAL";"PRESENCIAL";"PRESENCIAL"}, MATCH(CONCATENATE(E1098, ".", F1098),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099" spans="1:43" x14ac:dyDescent="0.25">
      <c r="A1099" s="56" t="s">
        <v>27</v>
      </c>
      <c r="B1099" s="56" t="s">
        <v>58</v>
      </c>
      <c r="C1099" s="56" t="s">
        <v>29</v>
      </c>
      <c r="D1099" s="56" t="s">
        <v>59</v>
      </c>
      <c r="E1099" s="56" t="s">
        <v>120</v>
      </c>
      <c r="F1099" s="56" t="s">
        <v>21</v>
      </c>
      <c r="G1099" s="56" t="s">
        <v>121</v>
      </c>
      <c r="H1099" s="56" t="s">
        <v>322</v>
      </c>
      <c r="I1099" s="56" t="s">
        <v>107</v>
      </c>
      <c r="J1099" s="56" t="s">
        <v>108</v>
      </c>
      <c r="K1099" s="56" t="s">
        <v>109</v>
      </c>
      <c r="L1099" s="56">
        <v>2028225</v>
      </c>
      <c r="M1099" s="56" t="s">
        <v>1264</v>
      </c>
      <c r="N1099" s="57">
        <f>DATE(2016,4,25)</f>
        <v>42485</v>
      </c>
      <c r="O1099" s="57">
        <f>DATE(2020,12,19)</f>
        <v>44184</v>
      </c>
      <c r="P1099" s="57">
        <f t="shared" si="402"/>
        <v>45279</v>
      </c>
      <c r="Q1099" s="56">
        <v>4390</v>
      </c>
      <c r="R1099" s="56">
        <v>3600</v>
      </c>
      <c r="S1099" s="56">
        <f t="shared" si="403"/>
        <v>3600</v>
      </c>
      <c r="T1099" s="56">
        <v>2.5</v>
      </c>
      <c r="U1099" s="56" t="str">
        <f t="shared" si="404"/>
        <v>NÃO</v>
      </c>
      <c r="V1099" s="56">
        <f t="shared" si="405"/>
        <v>1700</v>
      </c>
      <c r="W1099" s="58">
        <f t="shared" si="406"/>
        <v>2.1176470588235294</v>
      </c>
      <c r="X1099" s="58">
        <f t="shared" si="407"/>
        <v>772.94117647058829</v>
      </c>
      <c r="Y1099" s="58">
        <f t="shared" si="408"/>
        <v>0.96617647058823541</v>
      </c>
      <c r="Z1099" s="58"/>
      <c r="AA1099" s="58"/>
      <c r="AB1099" s="57">
        <f t="shared" si="409"/>
        <v>45292</v>
      </c>
      <c r="AC1099" s="57">
        <f t="shared" si="410"/>
        <v>45657</v>
      </c>
      <c r="AD1099" s="56">
        <v>5</v>
      </c>
      <c r="AE1099" s="56">
        <f t="shared" si="411"/>
        <v>0</v>
      </c>
      <c r="AF1099" s="56">
        <f t="shared" si="412"/>
        <v>0</v>
      </c>
      <c r="AG1099" s="56">
        <f t="shared" si="413"/>
        <v>0</v>
      </c>
      <c r="AH1099" s="56">
        <f t="shared" si="414"/>
        <v>0</v>
      </c>
      <c r="AI1099" s="56">
        <f t="shared" si="415"/>
        <v>183</v>
      </c>
      <c r="AJ1099" s="59">
        <f t="shared" si="416"/>
        <v>0.5</v>
      </c>
      <c r="AK1099" s="59">
        <f t="shared" si="417"/>
        <v>0.48308823529411771</v>
      </c>
      <c r="AL1099" s="59">
        <f t="shared" si="418"/>
        <v>0</v>
      </c>
      <c r="AM1099" s="59">
        <f t="shared" si="419"/>
        <v>0</v>
      </c>
      <c r="AN1099" s="59">
        <f t="shared" si="420"/>
        <v>0</v>
      </c>
      <c r="AO1099" s="59">
        <f t="shared" si="421"/>
        <v>0</v>
      </c>
      <c r="AP1099" s="56" t="str">
        <f>INDEX({"EAD";"EAD";"EAD";"EAD MOOC";"EAD";"EAD";"EAD FP";"EAD";"PRESENCIAL";"PRESENCIAL";"PRESENCIAL";"PRESENCIAL"}, MATCH(CONCATENATE(E1099, ".", F1099),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099" s="56"/>
    </row>
    <row r="1100" spans="1:43" x14ac:dyDescent="0.25">
      <c r="A1100" s="56" t="s">
        <v>27</v>
      </c>
      <c r="B1100" s="56" t="s">
        <v>58</v>
      </c>
      <c r="C1100" s="56" t="s">
        <v>29</v>
      </c>
      <c r="D1100" s="56" t="s">
        <v>59</v>
      </c>
      <c r="E1100" s="56" t="s">
        <v>120</v>
      </c>
      <c r="F1100" s="56" t="s">
        <v>21</v>
      </c>
      <c r="G1100" s="56" t="s">
        <v>121</v>
      </c>
      <c r="H1100" s="56" t="s">
        <v>322</v>
      </c>
      <c r="I1100" s="56" t="s">
        <v>107</v>
      </c>
      <c r="J1100" s="56" t="s">
        <v>108</v>
      </c>
      <c r="K1100" s="56" t="s">
        <v>109</v>
      </c>
      <c r="L1100" s="56">
        <v>2028229</v>
      </c>
      <c r="M1100" s="56" t="s">
        <v>1264</v>
      </c>
      <c r="N1100" s="57">
        <f>DATE(2016,4,25)</f>
        <v>42485</v>
      </c>
      <c r="O1100" s="57">
        <f>DATE(2020,12,19)</f>
        <v>44184</v>
      </c>
      <c r="P1100" s="57">
        <f t="shared" si="402"/>
        <v>45279</v>
      </c>
      <c r="Q1100" s="56">
        <v>4430</v>
      </c>
      <c r="R1100" s="56">
        <v>3600</v>
      </c>
      <c r="S1100" s="56">
        <f t="shared" si="403"/>
        <v>3600</v>
      </c>
      <c r="T1100" s="56">
        <v>2.5</v>
      </c>
      <c r="U1100" s="56" t="str">
        <f t="shared" si="404"/>
        <v>NÃO</v>
      </c>
      <c r="V1100" s="56">
        <f t="shared" si="405"/>
        <v>1700</v>
      </c>
      <c r="W1100" s="58">
        <f t="shared" si="406"/>
        <v>2.1176470588235294</v>
      </c>
      <c r="X1100" s="58">
        <f t="shared" si="407"/>
        <v>772.94117647058829</v>
      </c>
      <c r="Y1100" s="58">
        <f t="shared" si="408"/>
        <v>0.96617647058823541</v>
      </c>
      <c r="Z1100" s="58"/>
      <c r="AA1100" s="58"/>
      <c r="AB1100" s="57">
        <f t="shared" si="409"/>
        <v>45292</v>
      </c>
      <c r="AC1100" s="57">
        <f t="shared" si="410"/>
        <v>45657</v>
      </c>
      <c r="AD1100" s="56">
        <v>2</v>
      </c>
      <c r="AE1100" s="56">
        <f t="shared" si="411"/>
        <v>0</v>
      </c>
      <c r="AF1100" s="56">
        <f t="shared" si="412"/>
        <v>0</v>
      </c>
      <c r="AG1100" s="56">
        <f t="shared" si="413"/>
        <v>0</v>
      </c>
      <c r="AH1100" s="56">
        <f t="shared" si="414"/>
        <v>0</v>
      </c>
      <c r="AI1100" s="56">
        <f t="shared" si="415"/>
        <v>183</v>
      </c>
      <c r="AJ1100" s="59">
        <f t="shared" si="416"/>
        <v>0.5</v>
      </c>
      <c r="AK1100" s="59">
        <f t="shared" si="417"/>
        <v>0.48308823529411771</v>
      </c>
      <c r="AL1100" s="59">
        <f t="shared" si="418"/>
        <v>0</v>
      </c>
      <c r="AM1100" s="59">
        <f t="shared" si="419"/>
        <v>0</v>
      </c>
      <c r="AN1100" s="59">
        <f t="shared" si="420"/>
        <v>0</v>
      </c>
      <c r="AO1100" s="59">
        <f t="shared" si="421"/>
        <v>0</v>
      </c>
      <c r="AP1100" s="56" t="str">
        <f>INDEX({"EAD";"EAD";"EAD";"EAD MOOC";"EAD";"EAD";"EAD FP";"EAD";"PRESENCIAL";"PRESENCIAL";"PRESENCIAL";"PRESENCIAL"}, MATCH(CONCATENATE(E1100, ".", F1100),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00" s="56"/>
    </row>
    <row r="1101" spans="1:43" x14ac:dyDescent="0.25">
      <c r="A1101" s="56" t="s">
        <v>27</v>
      </c>
      <c r="B1101" s="56" t="s">
        <v>58</v>
      </c>
      <c r="C1101" s="56" t="s">
        <v>29</v>
      </c>
      <c r="D1101" s="56" t="s">
        <v>59</v>
      </c>
      <c r="E1101" s="56" t="s">
        <v>120</v>
      </c>
      <c r="F1101" s="56" t="s">
        <v>21</v>
      </c>
      <c r="G1101" s="56" t="s">
        <v>140</v>
      </c>
      <c r="H1101" s="56" t="s">
        <v>1146</v>
      </c>
      <c r="I1101" s="56" t="s">
        <v>209</v>
      </c>
      <c r="J1101" s="56" t="s">
        <v>125</v>
      </c>
      <c r="K1101" s="56" t="s">
        <v>109</v>
      </c>
      <c r="L1101" s="56">
        <v>2028231</v>
      </c>
      <c r="M1101" s="56" t="s">
        <v>1265</v>
      </c>
      <c r="N1101" s="57">
        <f>DATE(2016,4,25)</f>
        <v>42485</v>
      </c>
      <c r="O1101" s="57">
        <f>DATE(2018,12,22)</f>
        <v>43456</v>
      </c>
      <c r="P1101" s="57">
        <f t="shared" si="402"/>
        <v>44551</v>
      </c>
      <c r="Q1101" s="56">
        <v>2290</v>
      </c>
      <c r="R1101" s="56">
        <v>2000</v>
      </c>
      <c r="S1101" s="56">
        <f t="shared" si="403"/>
        <v>2000</v>
      </c>
      <c r="T1101" s="56">
        <v>1.5</v>
      </c>
      <c r="U1101" s="56" t="str">
        <f t="shared" si="404"/>
        <v>NÃO</v>
      </c>
      <c r="V1101" s="56">
        <f t="shared" si="405"/>
        <v>972</v>
      </c>
      <c r="W1101" s="58">
        <f t="shared" si="406"/>
        <v>2.0576131687242798</v>
      </c>
      <c r="X1101" s="58">
        <f t="shared" si="407"/>
        <v>751.02880658436209</v>
      </c>
      <c r="Y1101" s="58">
        <f t="shared" si="408"/>
        <v>0.93878600823045266</v>
      </c>
      <c r="Z1101" s="58"/>
      <c r="AA1101" s="58"/>
      <c r="AB1101" s="57">
        <f t="shared" si="409"/>
        <v>45292</v>
      </c>
      <c r="AC1101" s="57">
        <f t="shared" si="410"/>
        <v>45657</v>
      </c>
      <c r="AD1101" s="56">
        <v>1</v>
      </c>
      <c r="AE1101" s="56">
        <f t="shared" si="411"/>
        <v>0</v>
      </c>
      <c r="AF1101" s="56">
        <f t="shared" si="412"/>
        <v>0</v>
      </c>
      <c r="AG1101" s="56">
        <f t="shared" si="413"/>
        <v>0</v>
      </c>
      <c r="AH1101" s="56">
        <f t="shared" si="414"/>
        <v>0</v>
      </c>
      <c r="AI1101" s="56">
        <f t="shared" si="415"/>
        <v>183</v>
      </c>
      <c r="AJ1101" s="59">
        <f t="shared" si="416"/>
        <v>0.5</v>
      </c>
      <c r="AK1101" s="59">
        <f t="shared" si="417"/>
        <v>0.46939300411522633</v>
      </c>
      <c r="AL1101" s="59">
        <f t="shared" si="418"/>
        <v>0</v>
      </c>
      <c r="AM1101" s="59">
        <f t="shared" si="419"/>
        <v>0</v>
      </c>
      <c r="AN1101" s="59">
        <f t="shared" si="420"/>
        <v>0</v>
      </c>
      <c r="AO1101" s="59">
        <f t="shared" si="421"/>
        <v>0</v>
      </c>
      <c r="AP1101" s="56" t="str">
        <f>INDEX({"EAD";"EAD";"EAD";"EAD MOOC";"EAD";"EAD";"EAD FP";"EAD";"PRESENCIAL";"PRESENCIAL";"PRESENCIAL";"PRESENCIAL"}, MATCH(CONCATENATE(E1101, ".", F1101),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01" s="56"/>
    </row>
    <row r="1102" spans="1:43" x14ac:dyDescent="0.25">
      <c r="A1102" s="1" t="s">
        <v>27</v>
      </c>
      <c r="B1102" s="1" t="s">
        <v>58</v>
      </c>
      <c r="C1102" s="1" t="s">
        <v>29</v>
      </c>
      <c r="D1102" s="1" t="s">
        <v>59</v>
      </c>
      <c r="E1102" s="1" t="s">
        <v>120</v>
      </c>
      <c r="F1102" s="1" t="s">
        <v>21</v>
      </c>
      <c r="G1102" s="1" t="s">
        <v>121</v>
      </c>
      <c r="H1102" s="1" t="s">
        <v>106</v>
      </c>
      <c r="I1102" s="1" t="s">
        <v>107</v>
      </c>
      <c r="J1102" s="1" t="s">
        <v>108</v>
      </c>
      <c r="K1102" s="1" t="s">
        <v>109</v>
      </c>
      <c r="L1102" s="1">
        <v>2147562</v>
      </c>
      <c r="M1102" s="1" t="s">
        <v>1266</v>
      </c>
      <c r="N1102" s="5">
        <f>DATE(2017,3,20)</f>
        <v>42814</v>
      </c>
      <c r="O1102" s="5">
        <f>DATE(2021,12,17)</f>
        <v>44547</v>
      </c>
      <c r="P1102" s="5">
        <f t="shared" si="402"/>
        <v>45642</v>
      </c>
      <c r="Q1102" s="1">
        <v>4640</v>
      </c>
      <c r="R1102" s="1">
        <v>3600</v>
      </c>
      <c r="S1102" s="1">
        <f t="shared" si="403"/>
        <v>3600</v>
      </c>
      <c r="T1102" s="1">
        <v>2.5</v>
      </c>
      <c r="U1102" s="1" t="str">
        <f t="shared" si="404"/>
        <v>SIM</v>
      </c>
      <c r="V1102" s="1">
        <f t="shared" si="405"/>
        <v>1734</v>
      </c>
      <c r="W1102" s="4">
        <f t="shared" si="406"/>
        <v>2.0761245674740483</v>
      </c>
      <c r="X1102" s="4">
        <f t="shared" si="407"/>
        <v>757.78546712802768</v>
      </c>
      <c r="Y1102" s="4">
        <f t="shared" si="408"/>
        <v>0.94723183391003463</v>
      </c>
      <c r="AB1102" s="5">
        <f t="shared" si="409"/>
        <v>45292</v>
      </c>
      <c r="AC1102" s="5">
        <f t="shared" si="410"/>
        <v>45657</v>
      </c>
      <c r="AD1102" s="1">
        <v>6</v>
      </c>
      <c r="AE1102" s="1">
        <f t="shared" si="411"/>
        <v>0</v>
      </c>
      <c r="AF1102" s="1">
        <f t="shared" si="412"/>
        <v>0</v>
      </c>
      <c r="AG1102" s="1">
        <f t="shared" si="413"/>
        <v>0</v>
      </c>
      <c r="AH1102" s="1">
        <f t="shared" si="414"/>
        <v>0</v>
      </c>
      <c r="AI1102" s="1">
        <f t="shared" si="415"/>
        <v>183</v>
      </c>
      <c r="AJ1102" s="3">
        <f t="shared" si="416"/>
        <v>0.5</v>
      </c>
      <c r="AK1102" s="3">
        <f t="shared" si="417"/>
        <v>0.47361591695501731</v>
      </c>
      <c r="AL1102" s="3">
        <f t="shared" si="418"/>
        <v>1.4208477508650519</v>
      </c>
      <c r="AM1102" s="3">
        <f t="shared" si="419"/>
        <v>3.5521193771626298</v>
      </c>
      <c r="AN1102" s="3">
        <f t="shared" si="420"/>
        <v>1.7760596885813149</v>
      </c>
      <c r="AO1102" s="3">
        <f t="shared" si="421"/>
        <v>5.328179065743945</v>
      </c>
      <c r="AP1102" s="1" t="str">
        <f>INDEX({"EAD";"EAD";"EAD";"EAD MOOC";"EAD";"EAD";"EAD FP";"EAD";"PRESENCIAL";"PRESENCIAL";"PRESENCIAL";"PRESENCIAL"}, MATCH(CONCATENATE(E1102, ".", F1102),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03" spans="1:43" x14ac:dyDescent="0.25">
      <c r="A1103" s="1" t="s">
        <v>27</v>
      </c>
      <c r="B1103" s="1" t="s">
        <v>58</v>
      </c>
      <c r="C1103" s="1" t="s">
        <v>29</v>
      </c>
      <c r="D1103" s="1" t="s">
        <v>59</v>
      </c>
      <c r="E1103" s="1" t="s">
        <v>120</v>
      </c>
      <c r="F1103" s="1" t="s">
        <v>21</v>
      </c>
      <c r="G1103" s="1" t="s">
        <v>278</v>
      </c>
      <c r="H1103" s="1" t="s">
        <v>1017</v>
      </c>
      <c r="I1103" s="1" t="s">
        <v>172</v>
      </c>
      <c r="J1103" s="1" t="s">
        <v>125</v>
      </c>
      <c r="K1103" s="1" t="s">
        <v>109</v>
      </c>
      <c r="L1103" s="1">
        <v>2149876</v>
      </c>
      <c r="M1103" s="1" t="s">
        <v>1267</v>
      </c>
      <c r="N1103" s="5">
        <f>DATE(2017,3,20)</f>
        <v>42814</v>
      </c>
      <c r="O1103" s="5">
        <f>DATE(2020,12,31)</f>
        <v>44196</v>
      </c>
      <c r="P1103" s="5">
        <f t="shared" si="402"/>
        <v>45291</v>
      </c>
      <c r="Q1103" s="1">
        <v>3226</v>
      </c>
      <c r="R1103" s="1">
        <v>3200</v>
      </c>
      <c r="S1103" s="1">
        <f t="shared" si="403"/>
        <v>3200</v>
      </c>
      <c r="T1103" s="1">
        <v>2.5</v>
      </c>
      <c r="U1103" s="1" t="str">
        <f t="shared" si="404"/>
        <v>NÃO</v>
      </c>
      <c r="V1103" s="1">
        <f t="shared" si="405"/>
        <v>1383</v>
      </c>
      <c r="W1103" s="4">
        <f t="shared" si="406"/>
        <v>2.3138105567606653</v>
      </c>
      <c r="X1103" s="4">
        <f t="shared" si="407"/>
        <v>844.54085321764285</v>
      </c>
      <c r="Y1103" s="4">
        <f t="shared" si="408"/>
        <v>1.0556760665220535</v>
      </c>
      <c r="AB1103" s="5">
        <f t="shared" si="409"/>
        <v>45292</v>
      </c>
      <c r="AC1103" s="5">
        <f t="shared" si="410"/>
        <v>45657</v>
      </c>
      <c r="AD1103" s="1">
        <v>2</v>
      </c>
      <c r="AE1103" s="1">
        <f t="shared" si="411"/>
        <v>0</v>
      </c>
      <c r="AF1103" s="1">
        <f t="shared" si="412"/>
        <v>0</v>
      </c>
      <c r="AG1103" s="1">
        <f t="shared" si="413"/>
        <v>0</v>
      </c>
      <c r="AH1103" s="1">
        <f t="shared" si="414"/>
        <v>0</v>
      </c>
      <c r="AI1103" s="1">
        <f t="shared" si="415"/>
        <v>183</v>
      </c>
      <c r="AJ1103" s="3">
        <f t="shared" si="416"/>
        <v>0.5</v>
      </c>
      <c r="AK1103" s="3">
        <f t="shared" si="417"/>
        <v>0.52783803326102674</v>
      </c>
      <c r="AL1103" s="3">
        <f t="shared" si="418"/>
        <v>0</v>
      </c>
      <c r="AM1103" s="3">
        <f t="shared" si="419"/>
        <v>0</v>
      </c>
      <c r="AN1103" s="3">
        <f t="shared" si="420"/>
        <v>0</v>
      </c>
      <c r="AO1103" s="3">
        <f t="shared" si="421"/>
        <v>0</v>
      </c>
      <c r="AP1103" s="1" t="str">
        <f>INDEX({"EAD";"EAD";"EAD";"EAD MOOC";"EAD";"EAD";"EAD FP";"EAD";"PRESENCIAL";"PRESENCIAL";"PRESENCIAL";"PRESENCIAL"}, MATCH(CONCATENATE(E1103, ".", F1103),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04" spans="1:43" x14ac:dyDescent="0.25">
      <c r="A1104" s="56" t="s">
        <v>27</v>
      </c>
      <c r="B1104" s="56" t="s">
        <v>58</v>
      </c>
      <c r="C1104" s="56" t="s">
        <v>29</v>
      </c>
      <c r="D1104" s="56" t="s">
        <v>59</v>
      </c>
      <c r="E1104" s="56" t="s">
        <v>120</v>
      </c>
      <c r="F1104" s="56" t="s">
        <v>21</v>
      </c>
      <c r="G1104" s="56" t="s">
        <v>121</v>
      </c>
      <c r="H1104" s="56" t="s">
        <v>322</v>
      </c>
      <c r="I1104" s="56" t="s">
        <v>107</v>
      </c>
      <c r="J1104" s="56" t="s">
        <v>108</v>
      </c>
      <c r="K1104" s="56" t="s">
        <v>109</v>
      </c>
      <c r="L1104" s="56">
        <v>2151193</v>
      </c>
      <c r="M1104" s="56" t="s">
        <v>1268</v>
      </c>
      <c r="N1104" s="57">
        <f>DATE(2017,3,20)</f>
        <v>42814</v>
      </c>
      <c r="O1104" s="57">
        <f>DATE(2021,12,23)</f>
        <v>44553</v>
      </c>
      <c r="P1104" s="57">
        <f t="shared" si="402"/>
        <v>45648</v>
      </c>
      <c r="Q1104" s="56">
        <v>4390</v>
      </c>
      <c r="R1104" s="56">
        <v>3600</v>
      </c>
      <c r="S1104" s="56">
        <f t="shared" si="403"/>
        <v>3600</v>
      </c>
      <c r="T1104" s="56">
        <v>2.5</v>
      </c>
      <c r="U1104" s="56" t="str">
        <f t="shared" si="404"/>
        <v>SIM</v>
      </c>
      <c r="V1104" s="56">
        <f t="shared" si="405"/>
        <v>1740</v>
      </c>
      <c r="W1104" s="58">
        <f t="shared" si="406"/>
        <v>2.0689655172413794</v>
      </c>
      <c r="X1104" s="58">
        <f t="shared" si="407"/>
        <v>755.17241379310349</v>
      </c>
      <c r="Y1104" s="58">
        <f t="shared" si="408"/>
        <v>0.94396551724137934</v>
      </c>
      <c r="Z1104" s="58"/>
      <c r="AA1104" s="58"/>
      <c r="AB1104" s="57">
        <f t="shared" si="409"/>
        <v>45292</v>
      </c>
      <c r="AC1104" s="57">
        <f t="shared" si="410"/>
        <v>45657</v>
      </c>
      <c r="AD1104" s="56">
        <v>10</v>
      </c>
      <c r="AE1104" s="56">
        <f t="shared" si="411"/>
        <v>0</v>
      </c>
      <c r="AF1104" s="56">
        <f t="shared" si="412"/>
        <v>0</v>
      </c>
      <c r="AG1104" s="56">
        <f t="shared" si="413"/>
        <v>0</v>
      </c>
      <c r="AH1104" s="56">
        <f t="shared" si="414"/>
        <v>0</v>
      </c>
      <c r="AI1104" s="56">
        <f t="shared" si="415"/>
        <v>183</v>
      </c>
      <c r="AJ1104" s="59">
        <f t="shared" si="416"/>
        <v>0.5</v>
      </c>
      <c r="AK1104" s="59">
        <f t="shared" si="417"/>
        <v>0.47198275862068967</v>
      </c>
      <c r="AL1104" s="59">
        <f t="shared" si="418"/>
        <v>2.3599137931034484</v>
      </c>
      <c r="AM1104" s="59">
        <f t="shared" si="419"/>
        <v>5.899784482758621</v>
      </c>
      <c r="AN1104" s="59">
        <f t="shared" si="420"/>
        <v>2.9498922413793105</v>
      </c>
      <c r="AO1104" s="59">
        <f t="shared" si="421"/>
        <v>8.8496767241379324</v>
      </c>
      <c r="AP1104" s="56" t="str">
        <f>INDEX({"EAD";"EAD";"EAD";"EAD MOOC";"EAD";"EAD";"EAD FP";"EAD";"PRESENCIAL";"PRESENCIAL";"PRESENCIAL";"PRESENCIAL"}, MATCH(CONCATENATE(E1104, ".", F1104),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04" s="56"/>
    </row>
    <row r="1105" spans="1:43" x14ac:dyDescent="0.25">
      <c r="A1105" s="56" t="s">
        <v>27</v>
      </c>
      <c r="B1105" s="56" t="s">
        <v>58</v>
      </c>
      <c r="C1105" s="56" t="s">
        <v>29</v>
      </c>
      <c r="D1105" s="56" t="s">
        <v>59</v>
      </c>
      <c r="E1105" s="56" t="s">
        <v>120</v>
      </c>
      <c r="F1105" s="56" t="s">
        <v>21</v>
      </c>
      <c r="G1105" s="56" t="s">
        <v>121</v>
      </c>
      <c r="H1105" s="56" t="s">
        <v>322</v>
      </c>
      <c r="I1105" s="56" t="s">
        <v>107</v>
      </c>
      <c r="J1105" s="56" t="s">
        <v>108</v>
      </c>
      <c r="K1105" s="56" t="s">
        <v>109</v>
      </c>
      <c r="L1105" s="56">
        <v>2151194</v>
      </c>
      <c r="M1105" s="56" t="s">
        <v>1268</v>
      </c>
      <c r="N1105" s="57">
        <f>DATE(2017,3,20)</f>
        <v>42814</v>
      </c>
      <c r="O1105" s="57">
        <f>DATE(2021,12,23)</f>
        <v>44553</v>
      </c>
      <c r="P1105" s="57">
        <f t="shared" si="402"/>
        <v>45648</v>
      </c>
      <c r="Q1105" s="56">
        <v>4450</v>
      </c>
      <c r="R1105" s="56">
        <v>3600</v>
      </c>
      <c r="S1105" s="56">
        <f t="shared" si="403"/>
        <v>3600</v>
      </c>
      <c r="T1105" s="56">
        <v>2.5</v>
      </c>
      <c r="U1105" s="56" t="str">
        <f t="shared" si="404"/>
        <v>SIM</v>
      </c>
      <c r="V1105" s="56">
        <f t="shared" si="405"/>
        <v>1740</v>
      </c>
      <c r="W1105" s="58">
        <f t="shared" si="406"/>
        <v>2.0689655172413794</v>
      </c>
      <c r="X1105" s="58">
        <f t="shared" si="407"/>
        <v>755.17241379310349</v>
      </c>
      <c r="Y1105" s="58">
        <f t="shared" si="408"/>
        <v>0.94396551724137934</v>
      </c>
      <c r="Z1105" s="58"/>
      <c r="AA1105" s="58"/>
      <c r="AB1105" s="57">
        <f t="shared" si="409"/>
        <v>45292</v>
      </c>
      <c r="AC1105" s="57">
        <f t="shared" si="410"/>
        <v>45657</v>
      </c>
      <c r="AD1105" s="56">
        <v>4</v>
      </c>
      <c r="AE1105" s="56">
        <f t="shared" si="411"/>
        <v>0</v>
      </c>
      <c r="AF1105" s="56">
        <f t="shared" si="412"/>
        <v>0</v>
      </c>
      <c r="AG1105" s="56">
        <f t="shared" si="413"/>
        <v>0</v>
      </c>
      <c r="AH1105" s="56">
        <f t="shared" si="414"/>
        <v>0</v>
      </c>
      <c r="AI1105" s="56">
        <f t="shared" si="415"/>
        <v>183</v>
      </c>
      <c r="AJ1105" s="59">
        <f t="shared" si="416"/>
        <v>0.5</v>
      </c>
      <c r="AK1105" s="59">
        <f t="shared" si="417"/>
        <v>0.47198275862068967</v>
      </c>
      <c r="AL1105" s="59">
        <f t="shared" si="418"/>
        <v>0.94396551724137934</v>
      </c>
      <c r="AM1105" s="59">
        <f t="shared" si="419"/>
        <v>2.3599137931034484</v>
      </c>
      <c r="AN1105" s="59">
        <f t="shared" si="420"/>
        <v>1.1799568965517242</v>
      </c>
      <c r="AO1105" s="59">
        <f t="shared" si="421"/>
        <v>3.5398706896551726</v>
      </c>
      <c r="AP1105" s="56" t="str">
        <f>INDEX({"EAD";"EAD";"EAD";"EAD MOOC";"EAD";"EAD";"EAD FP";"EAD";"PRESENCIAL";"PRESENCIAL";"PRESENCIAL";"PRESENCIAL"}, MATCH(CONCATENATE(E1105, ".", F1105),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05" s="56"/>
    </row>
    <row r="1106" spans="1:43" x14ac:dyDescent="0.25">
      <c r="A1106" s="56" t="s">
        <v>27</v>
      </c>
      <c r="B1106" s="56" t="s">
        <v>58</v>
      </c>
      <c r="C1106" s="56" t="s">
        <v>29</v>
      </c>
      <c r="D1106" s="56" t="s">
        <v>59</v>
      </c>
      <c r="E1106" s="56" t="s">
        <v>120</v>
      </c>
      <c r="F1106" s="56" t="s">
        <v>21</v>
      </c>
      <c r="G1106" s="56" t="s">
        <v>140</v>
      </c>
      <c r="H1106" s="56" t="s">
        <v>1146</v>
      </c>
      <c r="I1106" s="56" t="s">
        <v>209</v>
      </c>
      <c r="J1106" s="56" t="s">
        <v>125</v>
      </c>
      <c r="K1106" s="56" t="s">
        <v>109</v>
      </c>
      <c r="L1106" s="56">
        <v>2171623</v>
      </c>
      <c r="M1106" s="56" t="s">
        <v>1269</v>
      </c>
      <c r="N1106" s="57">
        <f>DATE(2017,3,20)</f>
        <v>42814</v>
      </c>
      <c r="O1106" s="57">
        <f>DATE(2019,12,20)</f>
        <v>43819</v>
      </c>
      <c r="P1106" s="57">
        <f t="shared" si="402"/>
        <v>44914</v>
      </c>
      <c r="Q1106" s="56">
        <v>2290</v>
      </c>
      <c r="R1106" s="56">
        <v>2000</v>
      </c>
      <c r="S1106" s="56">
        <f t="shared" si="403"/>
        <v>2000</v>
      </c>
      <c r="T1106" s="56">
        <v>1.5</v>
      </c>
      <c r="U1106" s="56" t="str">
        <f t="shared" si="404"/>
        <v>NÃO</v>
      </c>
      <c r="V1106" s="56">
        <f t="shared" si="405"/>
        <v>1006</v>
      </c>
      <c r="W1106" s="58">
        <f t="shared" si="406"/>
        <v>1.9880715705765408</v>
      </c>
      <c r="X1106" s="58">
        <f t="shared" si="407"/>
        <v>725.64612326043743</v>
      </c>
      <c r="Y1106" s="58">
        <f t="shared" si="408"/>
        <v>0.90705765407554684</v>
      </c>
      <c r="Z1106" s="58"/>
      <c r="AA1106" s="58"/>
      <c r="AB1106" s="57">
        <f t="shared" si="409"/>
        <v>45292</v>
      </c>
      <c r="AC1106" s="57">
        <f t="shared" si="410"/>
        <v>45657</v>
      </c>
      <c r="AD1106" s="56">
        <v>2</v>
      </c>
      <c r="AE1106" s="56">
        <f t="shared" si="411"/>
        <v>0</v>
      </c>
      <c r="AF1106" s="56">
        <f t="shared" si="412"/>
        <v>0</v>
      </c>
      <c r="AG1106" s="56">
        <f t="shared" si="413"/>
        <v>0</v>
      </c>
      <c r="AH1106" s="56">
        <f t="shared" si="414"/>
        <v>0</v>
      </c>
      <c r="AI1106" s="56">
        <f t="shared" si="415"/>
        <v>183</v>
      </c>
      <c r="AJ1106" s="59">
        <f t="shared" si="416"/>
        <v>0.5</v>
      </c>
      <c r="AK1106" s="59">
        <f t="shared" si="417"/>
        <v>0.45352882703777342</v>
      </c>
      <c r="AL1106" s="59">
        <f t="shared" si="418"/>
        <v>0</v>
      </c>
      <c r="AM1106" s="59">
        <f t="shared" si="419"/>
        <v>0</v>
      </c>
      <c r="AN1106" s="59">
        <f t="shared" si="420"/>
        <v>0</v>
      </c>
      <c r="AO1106" s="59">
        <f t="shared" si="421"/>
        <v>0</v>
      </c>
      <c r="AP1106" s="56" t="str">
        <f>INDEX({"EAD";"EAD";"EAD";"EAD MOOC";"EAD";"EAD";"EAD FP";"EAD";"PRESENCIAL";"PRESENCIAL";"PRESENCIAL";"PRESENCIAL"}, MATCH(CONCATENATE(E1106, ".", F1106),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06" s="56"/>
    </row>
    <row r="1107" spans="1:43" x14ac:dyDescent="0.25">
      <c r="A1107" s="1" t="s">
        <v>27</v>
      </c>
      <c r="B1107" s="1" t="s">
        <v>58</v>
      </c>
      <c r="C1107" s="1" t="s">
        <v>29</v>
      </c>
      <c r="D1107" s="1" t="s">
        <v>59</v>
      </c>
      <c r="E1107" s="1" t="s">
        <v>120</v>
      </c>
      <c r="F1107" s="1" t="s">
        <v>21</v>
      </c>
      <c r="G1107" s="1" t="s">
        <v>121</v>
      </c>
      <c r="H1107" s="1" t="s">
        <v>106</v>
      </c>
      <c r="I1107" s="1" t="s">
        <v>107</v>
      </c>
      <c r="J1107" s="1" t="s">
        <v>108</v>
      </c>
      <c r="K1107" s="1" t="s">
        <v>109</v>
      </c>
      <c r="L1107" s="1">
        <v>2472806</v>
      </c>
      <c r="M1107" s="1" t="s">
        <v>1270</v>
      </c>
      <c r="N1107" s="5">
        <f t="shared" ref="N1107:N1112" si="422">DATE(2018,3,5)</f>
        <v>43164</v>
      </c>
      <c r="O1107" s="5">
        <f>DATE(2022,12,23)</f>
        <v>44918</v>
      </c>
      <c r="P1107" s="5">
        <f t="shared" si="402"/>
        <v>46013</v>
      </c>
      <c r="Q1107" s="1">
        <v>4640</v>
      </c>
      <c r="R1107" s="1">
        <v>3600</v>
      </c>
      <c r="S1107" s="1">
        <f t="shared" si="403"/>
        <v>3600</v>
      </c>
      <c r="T1107" s="1">
        <v>2.5</v>
      </c>
      <c r="U1107" s="1" t="str">
        <f t="shared" si="404"/>
        <v>SIM</v>
      </c>
      <c r="V1107" s="1">
        <f t="shared" si="405"/>
        <v>1755</v>
      </c>
      <c r="W1107" s="4">
        <f t="shared" si="406"/>
        <v>2.0512820512820511</v>
      </c>
      <c r="X1107" s="4">
        <f t="shared" si="407"/>
        <v>748.71794871794862</v>
      </c>
      <c r="Y1107" s="4">
        <f t="shared" si="408"/>
        <v>0.93589743589743579</v>
      </c>
      <c r="AB1107" s="5">
        <f t="shared" si="409"/>
        <v>45292</v>
      </c>
      <c r="AC1107" s="5">
        <f t="shared" si="410"/>
        <v>45657</v>
      </c>
      <c r="AD1107" s="1">
        <v>4</v>
      </c>
      <c r="AE1107" s="1">
        <f t="shared" si="411"/>
        <v>0</v>
      </c>
      <c r="AF1107" s="1">
        <f t="shared" si="412"/>
        <v>0</v>
      </c>
      <c r="AG1107" s="1">
        <f t="shared" si="413"/>
        <v>0</v>
      </c>
      <c r="AH1107" s="1">
        <f t="shared" si="414"/>
        <v>0</v>
      </c>
      <c r="AI1107" s="1">
        <f t="shared" si="415"/>
        <v>183</v>
      </c>
      <c r="AJ1107" s="3">
        <f t="shared" si="416"/>
        <v>0.5</v>
      </c>
      <c r="AK1107" s="3">
        <f t="shared" si="417"/>
        <v>0.4679487179487179</v>
      </c>
      <c r="AL1107" s="3">
        <f t="shared" si="418"/>
        <v>0.93589743589743579</v>
      </c>
      <c r="AM1107" s="3">
        <f t="shared" si="419"/>
        <v>2.3397435897435894</v>
      </c>
      <c r="AN1107" s="3">
        <f t="shared" si="420"/>
        <v>1.1698717948717947</v>
      </c>
      <c r="AO1107" s="3">
        <f t="shared" si="421"/>
        <v>3.5096153846153841</v>
      </c>
      <c r="AP1107" s="1" t="str">
        <f>INDEX({"EAD";"EAD";"EAD";"EAD MOOC";"EAD";"EAD";"EAD FP";"EAD";"PRESENCIAL";"PRESENCIAL";"PRESENCIAL";"PRESENCIAL"}, MATCH(CONCATENATE(E1107, ".", F1107),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08" spans="1:43" x14ac:dyDescent="0.25">
      <c r="A1108" s="1" t="s">
        <v>27</v>
      </c>
      <c r="B1108" s="1" t="s">
        <v>58</v>
      </c>
      <c r="C1108" s="1" t="s">
        <v>29</v>
      </c>
      <c r="D1108" s="1" t="s">
        <v>59</v>
      </c>
      <c r="E1108" s="1" t="s">
        <v>120</v>
      </c>
      <c r="F1108" s="1" t="s">
        <v>21</v>
      </c>
      <c r="G1108" s="1" t="s">
        <v>278</v>
      </c>
      <c r="H1108" s="1" t="s">
        <v>1017</v>
      </c>
      <c r="I1108" s="1" t="s">
        <v>172</v>
      </c>
      <c r="J1108" s="1" t="s">
        <v>125</v>
      </c>
      <c r="K1108" s="1" t="s">
        <v>109</v>
      </c>
      <c r="L1108" s="1">
        <v>2473919</v>
      </c>
      <c r="M1108" s="1" t="s">
        <v>1271</v>
      </c>
      <c r="N1108" s="5">
        <f t="shared" si="422"/>
        <v>43164</v>
      </c>
      <c r="O1108" s="5">
        <f>DATE(2021,12,31)</f>
        <v>44561</v>
      </c>
      <c r="P1108" s="5">
        <f t="shared" si="402"/>
        <v>45656</v>
      </c>
      <c r="Q1108" s="1">
        <v>3226</v>
      </c>
      <c r="R1108" s="1">
        <v>3200</v>
      </c>
      <c r="S1108" s="1">
        <f t="shared" si="403"/>
        <v>3200</v>
      </c>
      <c r="T1108" s="1">
        <v>2.5</v>
      </c>
      <c r="U1108" s="1" t="str">
        <f t="shared" si="404"/>
        <v>SIM</v>
      </c>
      <c r="V1108" s="1">
        <f t="shared" si="405"/>
        <v>1398</v>
      </c>
      <c r="W1108" s="4">
        <f t="shared" si="406"/>
        <v>2.2889842632331905</v>
      </c>
      <c r="X1108" s="4">
        <f t="shared" si="407"/>
        <v>835.47925608011451</v>
      </c>
      <c r="Y1108" s="4">
        <f t="shared" si="408"/>
        <v>1.0443490701001432</v>
      </c>
      <c r="AB1108" s="5">
        <f t="shared" si="409"/>
        <v>45292</v>
      </c>
      <c r="AC1108" s="5">
        <f t="shared" si="410"/>
        <v>45657</v>
      </c>
      <c r="AD1108" s="1">
        <v>2</v>
      </c>
      <c r="AE1108" s="1">
        <f t="shared" si="411"/>
        <v>0</v>
      </c>
      <c r="AF1108" s="1">
        <f t="shared" si="412"/>
        <v>0</v>
      </c>
      <c r="AG1108" s="1">
        <f t="shared" si="413"/>
        <v>0</v>
      </c>
      <c r="AH1108" s="1">
        <f t="shared" si="414"/>
        <v>0</v>
      </c>
      <c r="AI1108" s="1">
        <f t="shared" si="415"/>
        <v>183</v>
      </c>
      <c r="AJ1108" s="3">
        <f t="shared" si="416"/>
        <v>0.5</v>
      </c>
      <c r="AK1108" s="3">
        <f t="shared" si="417"/>
        <v>0.52217453505007161</v>
      </c>
      <c r="AL1108" s="3">
        <f t="shared" si="418"/>
        <v>0.52217453505007161</v>
      </c>
      <c r="AM1108" s="3">
        <f t="shared" si="419"/>
        <v>1.305436337625179</v>
      </c>
      <c r="AN1108" s="3">
        <f t="shared" si="420"/>
        <v>0</v>
      </c>
      <c r="AO1108" s="3">
        <f t="shared" si="421"/>
        <v>1.305436337625179</v>
      </c>
      <c r="AP1108" s="1" t="str">
        <f>INDEX({"EAD";"EAD";"EAD";"EAD MOOC";"EAD";"EAD";"EAD FP";"EAD";"PRESENCIAL";"PRESENCIAL";"PRESENCIAL";"PRESENCIAL"}, MATCH(CONCATENATE(E1108, ".", F1108),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09" spans="1:43" x14ac:dyDescent="0.25">
      <c r="A1109" s="1" t="s">
        <v>27</v>
      </c>
      <c r="B1109" s="1" t="s">
        <v>58</v>
      </c>
      <c r="C1109" s="1" t="s">
        <v>29</v>
      </c>
      <c r="D1109" s="1" t="s">
        <v>59</v>
      </c>
      <c r="E1109" s="1" t="s">
        <v>120</v>
      </c>
      <c r="F1109" s="1" t="s">
        <v>21</v>
      </c>
      <c r="G1109" s="1" t="s">
        <v>128</v>
      </c>
      <c r="H1109" s="1" t="s">
        <v>132</v>
      </c>
      <c r="I1109" s="1" t="s">
        <v>107</v>
      </c>
      <c r="J1109" s="1" t="s">
        <v>108</v>
      </c>
      <c r="K1109" s="1" t="s">
        <v>130</v>
      </c>
      <c r="L1109" s="1">
        <v>2482355</v>
      </c>
      <c r="M1109" s="1" t="s">
        <v>1272</v>
      </c>
      <c r="N1109" s="5">
        <f t="shared" si="422"/>
        <v>43164</v>
      </c>
      <c r="O1109" s="5">
        <f>DATE(2020,12,18)</f>
        <v>44183</v>
      </c>
      <c r="P1109" s="5">
        <f t="shared" si="402"/>
        <v>45278</v>
      </c>
      <c r="Q1109" s="1">
        <v>3882</v>
      </c>
      <c r="R1109" s="1">
        <v>1200</v>
      </c>
      <c r="S1109" s="1">
        <f t="shared" si="403"/>
        <v>3200</v>
      </c>
      <c r="T1109" s="1">
        <v>2.5</v>
      </c>
      <c r="U1109" s="1" t="str">
        <f t="shared" si="404"/>
        <v>NÃO</v>
      </c>
      <c r="V1109" s="1">
        <f t="shared" si="405"/>
        <v>1020</v>
      </c>
      <c r="W1109" s="4">
        <f t="shared" si="406"/>
        <v>3.1372549019607843</v>
      </c>
      <c r="X1109" s="4">
        <f t="shared" si="407"/>
        <v>1145.0980392156862</v>
      </c>
      <c r="Y1109" s="4">
        <f t="shared" si="408"/>
        <v>1.4313725490196076</v>
      </c>
      <c r="AB1109" s="5">
        <f t="shared" si="409"/>
        <v>45292</v>
      </c>
      <c r="AC1109" s="5">
        <f t="shared" si="410"/>
        <v>45657</v>
      </c>
      <c r="AD1109" s="1">
        <v>1</v>
      </c>
      <c r="AE1109" s="1">
        <f t="shared" si="411"/>
        <v>0</v>
      </c>
      <c r="AF1109" s="1">
        <f t="shared" si="412"/>
        <v>0</v>
      </c>
      <c r="AG1109" s="1">
        <f t="shared" si="413"/>
        <v>0</v>
      </c>
      <c r="AH1109" s="1">
        <f t="shared" si="414"/>
        <v>0</v>
      </c>
      <c r="AI1109" s="1">
        <f t="shared" si="415"/>
        <v>183</v>
      </c>
      <c r="AJ1109" s="3">
        <f t="shared" si="416"/>
        <v>0.5</v>
      </c>
      <c r="AK1109" s="3">
        <f t="shared" si="417"/>
        <v>0.71568627450980382</v>
      </c>
      <c r="AL1109" s="3">
        <f t="shared" si="418"/>
        <v>0</v>
      </c>
      <c r="AM1109" s="3">
        <f t="shared" si="419"/>
        <v>0</v>
      </c>
      <c r="AN1109" s="3">
        <f t="shared" si="420"/>
        <v>0</v>
      </c>
      <c r="AO1109" s="3">
        <f t="shared" si="421"/>
        <v>0</v>
      </c>
      <c r="AP1109" s="1" t="str">
        <f>INDEX({"EAD";"EAD";"EAD";"EAD MOOC";"EAD";"EAD";"EAD FP";"EAD";"PRESENCIAL";"PRESENCIAL";"PRESENCIAL";"PRESENCIAL"}, MATCH(CONCATENATE(E1109, ".", F1109),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10" spans="1:43" x14ac:dyDescent="0.25">
      <c r="A1110" s="56" t="s">
        <v>27</v>
      </c>
      <c r="B1110" s="56" t="s">
        <v>58</v>
      </c>
      <c r="C1110" s="56" t="s">
        <v>29</v>
      </c>
      <c r="D1110" s="56" t="s">
        <v>59</v>
      </c>
      <c r="E1110" s="56" t="s">
        <v>120</v>
      </c>
      <c r="F1110" s="56" t="s">
        <v>21</v>
      </c>
      <c r="G1110" s="56" t="s">
        <v>140</v>
      </c>
      <c r="H1110" s="56" t="s">
        <v>1146</v>
      </c>
      <c r="I1110" s="56" t="s">
        <v>209</v>
      </c>
      <c r="J1110" s="56" t="s">
        <v>125</v>
      </c>
      <c r="K1110" s="56" t="s">
        <v>109</v>
      </c>
      <c r="L1110" s="56">
        <v>2483411</v>
      </c>
      <c r="M1110" s="56" t="s">
        <v>1273</v>
      </c>
      <c r="N1110" s="57">
        <f t="shared" si="422"/>
        <v>43164</v>
      </c>
      <c r="O1110" s="57">
        <f>DATE(2020,12,22)</f>
        <v>44187</v>
      </c>
      <c r="P1110" s="57">
        <f t="shared" si="402"/>
        <v>45282</v>
      </c>
      <c r="Q1110" s="56">
        <v>2290</v>
      </c>
      <c r="R1110" s="56">
        <v>2000</v>
      </c>
      <c r="S1110" s="56">
        <f t="shared" si="403"/>
        <v>2000</v>
      </c>
      <c r="T1110" s="56">
        <v>1.5</v>
      </c>
      <c r="U1110" s="56" t="str">
        <f t="shared" si="404"/>
        <v>NÃO</v>
      </c>
      <c r="V1110" s="56">
        <f t="shared" si="405"/>
        <v>1024</v>
      </c>
      <c r="W1110" s="58">
        <f t="shared" si="406"/>
        <v>1.953125</v>
      </c>
      <c r="X1110" s="58">
        <f t="shared" si="407"/>
        <v>712.890625</v>
      </c>
      <c r="Y1110" s="58">
        <f t="shared" si="408"/>
        <v>0.89111328125</v>
      </c>
      <c r="Z1110" s="58"/>
      <c r="AA1110" s="58"/>
      <c r="AB1110" s="57">
        <f t="shared" si="409"/>
        <v>45292</v>
      </c>
      <c r="AC1110" s="57">
        <f t="shared" si="410"/>
        <v>45657</v>
      </c>
      <c r="AD1110" s="56">
        <v>1</v>
      </c>
      <c r="AE1110" s="56">
        <f t="shared" si="411"/>
        <v>0</v>
      </c>
      <c r="AF1110" s="56">
        <f t="shared" si="412"/>
        <v>0</v>
      </c>
      <c r="AG1110" s="56">
        <f t="shared" si="413"/>
        <v>0</v>
      </c>
      <c r="AH1110" s="56">
        <f t="shared" si="414"/>
        <v>0</v>
      </c>
      <c r="AI1110" s="56">
        <f t="shared" si="415"/>
        <v>183</v>
      </c>
      <c r="AJ1110" s="59">
        <f t="shared" si="416"/>
        <v>0.5</v>
      </c>
      <c r="AK1110" s="59">
        <f t="shared" si="417"/>
        <v>0.445556640625</v>
      </c>
      <c r="AL1110" s="59">
        <f t="shared" si="418"/>
        <v>0</v>
      </c>
      <c r="AM1110" s="59">
        <f t="shared" si="419"/>
        <v>0</v>
      </c>
      <c r="AN1110" s="59">
        <f t="shared" si="420"/>
        <v>0</v>
      </c>
      <c r="AO1110" s="59">
        <f t="shared" si="421"/>
        <v>0</v>
      </c>
      <c r="AP1110" s="56" t="str">
        <f>INDEX({"EAD";"EAD";"EAD";"EAD MOOC";"EAD";"EAD";"EAD FP";"EAD";"PRESENCIAL";"PRESENCIAL";"PRESENCIAL";"PRESENCIAL"}, MATCH(CONCATENATE(E1110, ".", F1110),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10" s="56"/>
    </row>
    <row r="1111" spans="1:43" x14ac:dyDescent="0.25">
      <c r="A1111" s="56" t="s">
        <v>27</v>
      </c>
      <c r="B1111" s="56" t="s">
        <v>58</v>
      </c>
      <c r="C1111" s="56" t="s">
        <v>29</v>
      </c>
      <c r="D1111" s="56" t="s">
        <v>59</v>
      </c>
      <c r="E1111" s="56" t="s">
        <v>120</v>
      </c>
      <c r="F1111" s="56" t="s">
        <v>21</v>
      </c>
      <c r="G1111" s="56" t="s">
        <v>121</v>
      </c>
      <c r="H1111" s="56" t="s">
        <v>322</v>
      </c>
      <c r="I1111" s="56" t="s">
        <v>107</v>
      </c>
      <c r="J1111" s="56" t="s">
        <v>108</v>
      </c>
      <c r="K1111" s="56" t="s">
        <v>109</v>
      </c>
      <c r="L1111" s="56">
        <v>2483433</v>
      </c>
      <c r="M1111" s="56" t="s">
        <v>1274</v>
      </c>
      <c r="N1111" s="57">
        <f t="shared" si="422"/>
        <v>43164</v>
      </c>
      <c r="O1111" s="57">
        <f>DATE(2022,12,21)</f>
        <v>44916</v>
      </c>
      <c r="P1111" s="57">
        <f t="shared" si="402"/>
        <v>46011</v>
      </c>
      <c r="Q1111" s="56">
        <v>4390</v>
      </c>
      <c r="R1111" s="56">
        <v>3600</v>
      </c>
      <c r="S1111" s="56">
        <f t="shared" si="403"/>
        <v>3600</v>
      </c>
      <c r="T1111" s="56">
        <v>2.5</v>
      </c>
      <c r="U1111" s="56" t="str">
        <f t="shared" si="404"/>
        <v>SIM</v>
      </c>
      <c r="V1111" s="56">
        <f t="shared" si="405"/>
        <v>1753</v>
      </c>
      <c r="W1111" s="58">
        <f t="shared" si="406"/>
        <v>2.0536223616657159</v>
      </c>
      <c r="X1111" s="58">
        <f t="shared" si="407"/>
        <v>749.57216200798632</v>
      </c>
      <c r="Y1111" s="58">
        <f t="shared" si="408"/>
        <v>0.93696520250998294</v>
      </c>
      <c r="Z1111" s="58"/>
      <c r="AA1111" s="58"/>
      <c r="AB1111" s="57">
        <f t="shared" si="409"/>
        <v>45292</v>
      </c>
      <c r="AC1111" s="57">
        <f t="shared" si="410"/>
        <v>45657</v>
      </c>
      <c r="AD1111" s="56">
        <v>13</v>
      </c>
      <c r="AE1111" s="56">
        <f t="shared" si="411"/>
        <v>0</v>
      </c>
      <c r="AF1111" s="56">
        <f t="shared" si="412"/>
        <v>0</v>
      </c>
      <c r="AG1111" s="56">
        <f t="shared" si="413"/>
        <v>0</v>
      </c>
      <c r="AH1111" s="56">
        <f t="shared" si="414"/>
        <v>0</v>
      </c>
      <c r="AI1111" s="56">
        <f t="shared" si="415"/>
        <v>183</v>
      </c>
      <c r="AJ1111" s="59">
        <f t="shared" si="416"/>
        <v>0.5</v>
      </c>
      <c r="AK1111" s="59">
        <f t="shared" si="417"/>
        <v>0.46848260125499147</v>
      </c>
      <c r="AL1111" s="59">
        <f t="shared" si="418"/>
        <v>3.0451369081574446</v>
      </c>
      <c r="AM1111" s="59">
        <f t="shared" si="419"/>
        <v>7.6128422703936121</v>
      </c>
      <c r="AN1111" s="59">
        <f t="shared" si="420"/>
        <v>3.806421135196806</v>
      </c>
      <c r="AO1111" s="59">
        <f t="shared" si="421"/>
        <v>11.419263405590417</v>
      </c>
      <c r="AP1111" s="56" t="str">
        <f>INDEX({"EAD";"EAD";"EAD";"EAD MOOC";"EAD";"EAD";"EAD FP";"EAD";"PRESENCIAL";"PRESENCIAL";"PRESENCIAL";"PRESENCIAL"}, MATCH(CONCATENATE(E1111, ".", F1111),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11" s="56"/>
    </row>
    <row r="1112" spans="1:43" x14ac:dyDescent="0.25">
      <c r="A1112" s="56" t="s">
        <v>27</v>
      </c>
      <c r="B1112" s="56" t="s">
        <v>58</v>
      </c>
      <c r="C1112" s="56" t="s">
        <v>29</v>
      </c>
      <c r="D1112" s="56" t="s">
        <v>59</v>
      </c>
      <c r="E1112" s="56" t="s">
        <v>120</v>
      </c>
      <c r="F1112" s="56" t="s">
        <v>21</v>
      </c>
      <c r="G1112" s="56" t="s">
        <v>121</v>
      </c>
      <c r="H1112" s="56" t="s">
        <v>322</v>
      </c>
      <c r="I1112" s="56" t="s">
        <v>107</v>
      </c>
      <c r="J1112" s="56" t="s">
        <v>108</v>
      </c>
      <c r="K1112" s="56" t="s">
        <v>109</v>
      </c>
      <c r="L1112" s="56">
        <v>2483435</v>
      </c>
      <c r="M1112" s="56" t="s">
        <v>1274</v>
      </c>
      <c r="N1112" s="57">
        <f t="shared" si="422"/>
        <v>43164</v>
      </c>
      <c r="O1112" s="57">
        <f>DATE(2022,12,21)</f>
        <v>44916</v>
      </c>
      <c r="P1112" s="57">
        <f t="shared" si="402"/>
        <v>46011</v>
      </c>
      <c r="Q1112" s="56">
        <v>4450</v>
      </c>
      <c r="R1112" s="56">
        <v>3600</v>
      </c>
      <c r="S1112" s="56">
        <f t="shared" si="403"/>
        <v>3600</v>
      </c>
      <c r="T1112" s="56">
        <v>2.5</v>
      </c>
      <c r="U1112" s="56" t="str">
        <f t="shared" si="404"/>
        <v>SIM</v>
      </c>
      <c r="V1112" s="56">
        <f t="shared" si="405"/>
        <v>1753</v>
      </c>
      <c r="W1112" s="58">
        <f t="shared" si="406"/>
        <v>2.0536223616657159</v>
      </c>
      <c r="X1112" s="58">
        <f t="shared" si="407"/>
        <v>749.57216200798632</v>
      </c>
      <c r="Y1112" s="58">
        <f t="shared" si="408"/>
        <v>0.93696520250998294</v>
      </c>
      <c r="Z1112" s="58"/>
      <c r="AA1112" s="58"/>
      <c r="AB1112" s="57">
        <f t="shared" si="409"/>
        <v>45292</v>
      </c>
      <c r="AC1112" s="57">
        <f t="shared" si="410"/>
        <v>45657</v>
      </c>
      <c r="AD1112" s="56">
        <v>5</v>
      </c>
      <c r="AE1112" s="56">
        <f t="shared" si="411"/>
        <v>0</v>
      </c>
      <c r="AF1112" s="56">
        <f t="shared" si="412"/>
        <v>0</v>
      </c>
      <c r="AG1112" s="56">
        <f t="shared" si="413"/>
        <v>0</v>
      </c>
      <c r="AH1112" s="56">
        <f t="shared" si="414"/>
        <v>0</v>
      </c>
      <c r="AI1112" s="56">
        <f t="shared" si="415"/>
        <v>183</v>
      </c>
      <c r="AJ1112" s="59">
        <f t="shared" si="416"/>
        <v>0.5</v>
      </c>
      <c r="AK1112" s="59">
        <f t="shared" si="417"/>
        <v>0.46848260125499147</v>
      </c>
      <c r="AL1112" s="59">
        <f t="shared" si="418"/>
        <v>1.1712065031374788</v>
      </c>
      <c r="AM1112" s="59">
        <f t="shared" si="419"/>
        <v>2.928016257843697</v>
      </c>
      <c r="AN1112" s="59">
        <f t="shared" si="420"/>
        <v>1.4640081289218485</v>
      </c>
      <c r="AO1112" s="59">
        <f t="shared" si="421"/>
        <v>4.3920243867655451</v>
      </c>
      <c r="AP1112" s="56" t="str">
        <f>INDEX({"EAD";"EAD";"EAD";"EAD MOOC";"EAD";"EAD";"EAD FP";"EAD";"PRESENCIAL";"PRESENCIAL";"PRESENCIAL";"PRESENCIAL"}, MATCH(CONCATENATE(E1112, ".", F1112),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12" s="56"/>
    </row>
    <row r="1113" spans="1:43" x14ac:dyDescent="0.25">
      <c r="A1113" s="1" t="s">
        <v>27</v>
      </c>
      <c r="B1113" s="1" t="s">
        <v>58</v>
      </c>
      <c r="C1113" s="1" t="s">
        <v>29</v>
      </c>
      <c r="D1113" s="1" t="s">
        <v>59</v>
      </c>
      <c r="E1113" s="1" t="s">
        <v>120</v>
      </c>
      <c r="F1113" s="1" t="s">
        <v>21</v>
      </c>
      <c r="G1113" s="1" t="s">
        <v>278</v>
      </c>
      <c r="H1113" s="1" t="s">
        <v>1017</v>
      </c>
      <c r="I1113" s="1" t="s">
        <v>172</v>
      </c>
      <c r="J1113" s="1" t="s">
        <v>125</v>
      </c>
      <c r="K1113" s="1" t="s">
        <v>109</v>
      </c>
      <c r="L1113" s="1">
        <v>2570279</v>
      </c>
      <c r="M1113" s="1" t="s">
        <v>1275</v>
      </c>
      <c r="N1113" s="5">
        <f t="shared" ref="N1113:N1118" si="423">DATE(2019,2,11)</f>
        <v>43507</v>
      </c>
      <c r="O1113" s="5">
        <f>DATE(2022,12,31)</f>
        <v>44926</v>
      </c>
      <c r="P1113" s="5">
        <f t="shared" si="402"/>
        <v>46021</v>
      </c>
      <c r="Q1113" s="1">
        <v>3226</v>
      </c>
      <c r="R1113" s="1">
        <v>3200</v>
      </c>
      <c r="S1113" s="1">
        <f t="shared" si="403"/>
        <v>3200</v>
      </c>
      <c r="T1113" s="1">
        <v>2.5</v>
      </c>
      <c r="U1113" s="1" t="str">
        <f t="shared" si="404"/>
        <v>SIM</v>
      </c>
      <c r="V1113" s="1">
        <f t="shared" si="405"/>
        <v>1420</v>
      </c>
      <c r="W1113" s="4">
        <f t="shared" si="406"/>
        <v>2.2535211267605635</v>
      </c>
      <c r="X1113" s="4">
        <f t="shared" si="407"/>
        <v>822.53521126760563</v>
      </c>
      <c r="Y1113" s="4">
        <f t="shared" si="408"/>
        <v>1.028169014084507</v>
      </c>
      <c r="AB1113" s="5">
        <f t="shared" si="409"/>
        <v>45292</v>
      </c>
      <c r="AC1113" s="5">
        <f t="shared" si="410"/>
        <v>45657</v>
      </c>
      <c r="AD1113" s="1">
        <v>9</v>
      </c>
      <c r="AE1113" s="1">
        <f t="shared" si="411"/>
        <v>0</v>
      </c>
      <c r="AF1113" s="1">
        <f t="shared" si="412"/>
        <v>0</v>
      </c>
      <c r="AG1113" s="1">
        <f t="shared" si="413"/>
        <v>0</v>
      </c>
      <c r="AH1113" s="1">
        <f t="shared" si="414"/>
        <v>0</v>
      </c>
      <c r="AI1113" s="1">
        <f t="shared" si="415"/>
        <v>183</v>
      </c>
      <c r="AJ1113" s="3">
        <f t="shared" si="416"/>
        <v>0.5</v>
      </c>
      <c r="AK1113" s="3">
        <f t="shared" si="417"/>
        <v>0.5140845070422535</v>
      </c>
      <c r="AL1113" s="3">
        <f t="shared" si="418"/>
        <v>2.313380281690141</v>
      </c>
      <c r="AM1113" s="3">
        <f t="shared" si="419"/>
        <v>5.783450704225352</v>
      </c>
      <c r="AN1113" s="3">
        <f t="shared" si="420"/>
        <v>0</v>
      </c>
      <c r="AO1113" s="3">
        <f t="shared" si="421"/>
        <v>5.783450704225352</v>
      </c>
      <c r="AP1113" s="1" t="str">
        <f>INDEX({"EAD";"EAD";"EAD";"EAD MOOC";"EAD";"EAD";"EAD FP";"EAD";"PRESENCIAL";"PRESENCIAL";"PRESENCIAL";"PRESENCIAL"}, MATCH(CONCATENATE(E1113, ".", F1113),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14" spans="1:43" x14ac:dyDescent="0.25">
      <c r="A1114" s="56" t="s">
        <v>27</v>
      </c>
      <c r="B1114" s="56" t="s">
        <v>58</v>
      </c>
      <c r="C1114" s="56" t="s">
        <v>29</v>
      </c>
      <c r="D1114" s="56" t="s">
        <v>59</v>
      </c>
      <c r="E1114" s="56" t="s">
        <v>120</v>
      </c>
      <c r="F1114" s="56" t="s">
        <v>21</v>
      </c>
      <c r="G1114" s="56" t="s">
        <v>121</v>
      </c>
      <c r="H1114" s="56" t="s">
        <v>322</v>
      </c>
      <c r="I1114" s="56" t="s">
        <v>107</v>
      </c>
      <c r="J1114" s="56" t="s">
        <v>108</v>
      </c>
      <c r="K1114" s="56" t="s">
        <v>109</v>
      </c>
      <c r="L1114" s="56">
        <v>2578274</v>
      </c>
      <c r="M1114" s="56" t="s">
        <v>1276</v>
      </c>
      <c r="N1114" s="57">
        <f t="shared" si="423"/>
        <v>43507</v>
      </c>
      <c r="O1114" s="57">
        <f>DATE(2023,12,20)</f>
        <v>45280</v>
      </c>
      <c r="P1114" s="57">
        <f t="shared" si="402"/>
        <v>46375</v>
      </c>
      <c r="Q1114" s="56">
        <v>3788</v>
      </c>
      <c r="R1114" s="56">
        <v>3600</v>
      </c>
      <c r="S1114" s="56">
        <f t="shared" si="403"/>
        <v>3600</v>
      </c>
      <c r="T1114" s="56">
        <v>2.5</v>
      </c>
      <c r="U1114" s="56" t="str">
        <f t="shared" si="404"/>
        <v>SIM</v>
      </c>
      <c r="V1114" s="56">
        <f t="shared" si="405"/>
        <v>1774</v>
      </c>
      <c r="W1114" s="58">
        <f t="shared" si="406"/>
        <v>2.0293122886133035</v>
      </c>
      <c r="X1114" s="58">
        <f t="shared" si="407"/>
        <v>740.69898534385572</v>
      </c>
      <c r="Y1114" s="58">
        <f t="shared" si="408"/>
        <v>0.92587373167981968</v>
      </c>
      <c r="Z1114" s="58"/>
      <c r="AA1114" s="58"/>
      <c r="AB1114" s="57">
        <f t="shared" si="409"/>
        <v>45292</v>
      </c>
      <c r="AC1114" s="57">
        <f t="shared" si="410"/>
        <v>45657</v>
      </c>
      <c r="AD1114" s="56">
        <v>31</v>
      </c>
      <c r="AE1114" s="56">
        <f t="shared" si="411"/>
        <v>0</v>
      </c>
      <c r="AF1114" s="56">
        <f t="shared" si="412"/>
        <v>0</v>
      </c>
      <c r="AG1114" s="56">
        <f t="shared" si="413"/>
        <v>0</v>
      </c>
      <c r="AH1114" s="56">
        <f t="shared" si="414"/>
        <v>0</v>
      </c>
      <c r="AI1114" s="56">
        <f t="shared" si="415"/>
        <v>183</v>
      </c>
      <c r="AJ1114" s="59">
        <f t="shared" si="416"/>
        <v>0.5</v>
      </c>
      <c r="AK1114" s="59">
        <f t="shared" si="417"/>
        <v>0.46293686583990984</v>
      </c>
      <c r="AL1114" s="59">
        <f t="shared" si="418"/>
        <v>7.1755214205186029</v>
      </c>
      <c r="AM1114" s="59">
        <f t="shared" si="419"/>
        <v>17.938803551296509</v>
      </c>
      <c r="AN1114" s="59">
        <f t="shared" si="420"/>
        <v>8.9694017756482545</v>
      </c>
      <c r="AO1114" s="59">
        <f t="shared" si="421"/>
        <v>26.908205326944763</v>
      </c>
      <c r="AP1114" s="56" t="str">
        <f>INDEX({"EAD";"EAD";"EAD";"EAD MOOC";"EAD";"EAD";"EAD FP";"EAD";"PRESENCIAL";"PRESENCIAL";"PRESENCIAL";"PRESENCIAL"}, MATCH(CONCATENATE(E1114, ".", F1114),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14" s="56"/>
    </row>
    <row r="1115" spans="1:43" x14ac:dyDescent="0.25">
      <c r="A1115" s="56" t="s">
        <v>27</v>
      </c>
      <c r="B1115" s="56" t="s">
        <v>58</v>
      </c>
      <c r="C1115" s="56" t="s">
        <v>29</v>
      </c>
      <c r="D1115" s="56" t="s">
        <v>59</v>
      </c>
      <c r="E1115" s="56" t="s">
        <v>120</v>
      </c>
      <c r="F1115" s="56" t="s">
        <v>21</v>
      </c>
      <c r="G1115" s="56" t="s">
        <v>121</v>
      </c>
      <c r="H1115" s="56" t="s">
        <v>322</v>
      </c>
      <c r="I1115" s="56" t="s">
        <v>107</v>
      </c>
      <c r="J1115" s="56" t="s">
        <v>108</v>
      </c>
      <c r="K1115" s="56" t="s">
        <v>109</v>
      </c>
      <c r="L1115" s="56">
        <v>2578349</v>
      </c>
      <c r="M1115" s="56" t="s">
        <v>1276</v>
      </c>
      <c r="N1115" s="57">
        <f t="shared" si="423"/>
        <v>43507</v>
      </c>
      <c r="O1115" s="57">
        <f>DATE(2023,12,20)</f>
        <v>45280</v>
      </c>
      <c r="P1115" s="57">
        <f t="shared" si="402"/>
        <v>46375</v>
      </c>
      <c r="Q1115" s="56">
        <v>4450</v>
      </c>
      <c r="R1115" s="56">
        <v>3600</v>
      </c>
      <c r="S1115" s="56">
        <f t="shared" si="403"/>
        <v>3600</v>
      </c>
      <c r="T1115" s="56">
        <v>2.5</v>
      </c>
      <c r="U1115" s="56" t="str">
        <f t="shared" si="404"/>
        <v>SIM</v>
      </c>
      <c r="V1115" s="56">
        <f t="shared" si="405"/>
        <v>1774</v>
      </c>
      <c r="W1115" s="58">
        <f t="shared" si="406"/>
        <v>2.0293122886133035</v>
      </c>
      <c r="X1115" s="58">
        <f t="shared" si="407"/>
        <v>740.69898534385572</v>
      </c>
      <c r="Y1115" s="58">
        <f t="shared" si="408"/>
        <v>0.92587373167981968</v>
      </c>
      <c r="Z1115" s="58"/>
      <c r="AA1115" s="58"/>
      <c r="AB1115" s="57">
        <f t="shared" si="409"/>
        <v>45292</v>
      </c>
      <c r="AC1115" s="57">
        <f t="shared" si="410"/>
        <v>45657</v>
      </c>
      <c r="AD1115" s="56">
        <v>21</v>
      </c>
      <c r="AE1115" s="56">
        <f t="shared" si="411"/>
        <v>0</v>
      </c>
      <c r="AF1115" s="56">
        <f t="shared" si="412"/>
        <v>0</v>
      </c>
      <c r="AG1115" s="56">
        <f t="shared" si="413"/>
        <v>0</v>
      </c>
      <c r="AH1115" s="56">
        <f t="shared" si="414"/>
        <v>0</v>
      </c>
      <c r="AI1115" s="56">
        <f t="shared" si="415"/>
        <v>183</v>
      </c>
      <c r="AJ1115" s="59">
        <f t="shared" si="416"/>
        <v>0.5</v>
      </c>
      <c r="AK1115" s="59">
        <f t="shared" si="417"/>
        <v>0.46293686583990984</v>
      </c>
      <c r="AL1115" s="59">
        <f t="shared" si="418"/>
        <v>4.8608370913190537</v>
      </c>
      <c r="AM1115" s="59">
        <f t="shared" si="419"/>
        <v>12.152092728297635</v>
      </c>
      <c r="AN1115" s="59">
        <f t="shared" si="420"/>
        <v>6.0760463641488176</v>
      </c>
      <c r="AO1115" s="59">
        <f t="shared" si="421"/>
        <v>18.228139092446455</v>
      </c>
      <c r="AP1115" s="56" t="str">
        <f>INDEX({"EAD";"EAD";"EAD";"EAD MOOC";"EAD";"EAD";"EAD FP";"EAD";"PRESENCIAL";"PRESENCIAL";"PRESENCIAL";"PRESENCIAL"}, MATCH(CONCATENATE(E1115, ".", F1115),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15" s="56"/>
    </row>
    <row r="1116" spans="1:43" x14ac:dyDescent="0.25">
      <c r="A1116" s="56" t="s">
        <v>27</v>
      </c>
      <c r="B1116" s="56" t="s">
        <v>58</v>
      </c>
      <c r="C1116" s="56" t="s">
        <v>29</v>
      </c>
      <c r="D1116" s="56" t="s">
        <v>59</v>
      </c>
      <c r="E1116" s="56" t="s">
        <v>120</v>
      </c>
      <c r="F1116" s="56" t="s">
        <v>21</v>
      </c>
      <c r="G1116" s="56" t="s">
        <v>140</v>
      </c>
      <c r="H1116" s="56" t="s">
        <v>1146</v>
      </c>
      <c r="I1116" s="56" t="s">
        <v>209</v>
      </c>
      <c r="J1116" s="56" t="s">
        <v>125</v>
      </c>
      <c r="K1116" s="56" t="s">
        <v>109</v>
      </c>
      <c r="L1116" s="56">
        <v>2578352</v>
      </c>
      <c r="M1116" s="56" t="s">
        <v>1277</v>
      </c>
      <c r="N1116" s="57">
        <f t="shared" si="423"/>
        <v>43507</v>
      </c>
      <c r="O1116" s="57">
        <f>DATE(2021,12,20)</f>
        <v>44550</v>
      </c>
      <c r="P1116" s="57">
        <f t="shared" si="402"/>
        <v>45645</v>
      </c>
      <c r="Q1116" s="56">
        <v>2290</v>
      </c>
      <c r="R1116" s="56">
        <v>2000</v>
      </c>
      <c r="S1116" s="56">
        <f t="shared" si="403"/>
        <v>2000</v>
      </c>
      <c r="T1116" s="56">
        <v>1.5</v>
      </c>
      <c r="U1116" s="56" t="str">
        <f t="shared" si="404"/>
        <v>SIM</v>
      </c>
      <c r="V1116" s="56">
        <f t="shared" si="405"/>
        <v>1044</v>
      </c>
      <c r="W1116" s="58">
        <f t="shared" si="406"/>
        <v>1.9157088122605364</v>
      </c>
      <c r="X1116" s="58">
        <f t="shared" si="407"/>
        <v>699.23371647509578</v>
      </c>
      <c r="Y1116" s="58">
        <f t="shared" si="408"/>
        <v>0.87404214559386972</v>
      </c>
      <c r="Z1116" s="58"/>
      <c r="AA1116" s="58"/>
      <c r="AB1116" s="57">
        <f t="shared" si="409"/>
        <v>45292</v>
      </c>
      <c r="AC1116" s="57">
        <f t="shared" si="410"/>
        <v>45657</v>
      </c>
      <c r="AD1116" s="56">
        <v>8</v>
      </c>
      <c r="AE1116" s="56">
        <f t="shared" si="411"/>
        <v>0</v>
      </c>
      <c r="AF1116" s="56">
        <f t="shared" si="412"/>
        <v>0</v>
      </c>
      <c r="AG1116" s="56">
        <f t="shared" si="413"/>
        <v>0</v>
      </c>
      <c r="AH1116" s="56">
        <f t="shared" si="414"/>
        <v>0</v>
      </c>
      <c r="AI1116" s="56">
        <f t="shared" si="415"/>
        <v>183</v>
      </c>
      <c r="AJ1116" s="59">
        <f t="shared" si="416"/>
        <v>0.5</v>
      </c>
      <c r="AK1116" s="59">
        <f t="shared" si="417"/>
        <v>0.43702107279693486</v>
      </c>
      <c r="AL1116" s="59">
        <f t="shared" si="418"/>
        <v>1.7480842911877394</v>
      </c>
      <c r="AM1116" s="59">
        <f t="shared" si="419"/>
        <v>2.6221264367816093</v>
      </c>
      <c r="AN1116" s="59">
        <f t="shared" si="420"/>
        <v>0</v>
      </c>
      <c r="AO1116" s="59">
        <f t="shared" si="421"/>
        <v>2.6221264367816093</v>
      </c>
      <c r="AP1116" s="56" t="str">
        <f>INDEX({"EAD";"EAD";"EAD";"EAD MOOC";"EAD";"EAD";"EAD FP";"EAD";"PRESENCIAL";"PRESENCIAL";"PRESENCIAL";"PRESENCIAL"}, MATCH(CONCATENATE(E1116, ".", F1116),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16" s="56"/>
    </row>
    <row r="1117" spans="1:43" x14ac:dyDescent="0.25">
      <c r="A1117" s="1" t="s">
        <v>27</v>
      </c>
      <c r="B1117" s="1" t="s">
        <v>58</v>
      </c>
      <c r="C1117" s="1" t="s">
        <v>29</v>
      </c>
      <c r="D1117" s="1" t="s">
        <v>59</v>
      </c>
      <c r="E1117" s="1" t="s">
        <v>120</v>
      </c>
      <c r="F1117" s="1" t="s">
        <v>21</v>
      </c>
      <c r="G1117" s="1" t="s">
        <v>128</v>
      </c>
      <c r="H1117" s="1" t="s">
        <v>132</v>
      </c>
      <c r="I1117" s="1" t="s">
        <v>107</v>
      </c>
      <c r="J1117" s="1" t="s">
        <v>108</v>
      </c>
      <c r="K1117" s="1" t="s">
        <v>130</v>
      </c>
      <c r="L1117" s="1">
        <v>2599263</v>
      </c>
      <c r="M1117" s="1" t="s">
        <v>1278</v>
      </c>
      <c r="N1117" s="5">
        <f t="shared" si="423"/>
        <v>43507</v>
      </c>
      <c r="O1117" s="5">
        <f>DATE(2021,12,17)</f>
        <v>44547</v>
      </c>
      <c r="P1117" s="5">
        <f t="shared" si="402"/>
        <v>45642</v>
      </c>
      <c r="Q1117" s="1">
        <v>3882</v>
      </c>
      <c r="R1117" s="1">
        <v>1200</v>
      </c>
      <c r="S1117" s="1">
        <f t="shared" si="403"/>
        <v>3200</v>
      </c>
      <c r="T1117" s="1">
        <v>2.5</v>
      </c>
      <c r="U1117" s="1" t="str">
        <f t="shared" si="404"/>
        <v>SIM</v>
      </c>
      <c r="V1117" s="1">
        <f t="shared" si="405"/>
        <v>1041</v>
      </c>
      <c r="W1117" s="4">
        <f t="shared" si="406"/>
        <v>3.0739673390970221</v>
      </c>
      <c r="X1117" s="4">
        <f t="shared" si="407"/>
        <v>1121.998078770413</v>
      </c>
      <c r="Y1117" s="4">
        <f t="shared" si="408"/>
        <v>1.4024975984630164</v>
      </c>
      <c r="AB1117" s="5">
        <f t="shared" si="409"/>
        <v>45292</v>
      </c>
      <c r="AC1117" s="5">
        <f t="shared" si="410"/>
        <v>45657</v>
      </c>
      <c r="AD1117" s="1">
        <v>4</v>
      </c>
      <c r="AE1117" s="1">
        <f t="shared" si="411"/>
        <v>0</v>
      </c>
      <c r="AF1117" s="1">
        <f t="shared" si="412"/>
        <v>0</v>
      </c>
      <c r="AG1117" s="1">
        <f t="shared" si="413"/>
        <v>0</v>
      </c>
      <c r="AH1117" s="1">
        <f t="shared" si="414"/>
        <v>0</v>
      </c>
      <c r="AI1117" s="1">
        <f t="shared" si="415"/>
        <v>183</v>
      </c>
      <c r="AJ1117" s="3">
        <f t="shared" si="416"/>
        <v>0.5</v>
      </c>
      <c r="AK1117" s="3">
        <f t="shared" si="417"/>
        <v>0.70124879923150818</v>
      </c>
      <c r="AL1117" s="3">
        <f t="shared" si="418"/>
        <v>1.4024975984630164</v>
      </c>
      <c r="AM1117" s="3">
        <f t="shared" si="419"/>
        <v>3.5062439961575409</v>
      </c>
      <c r="AN1117" s="3">
        <f t="shared" si="420"/>
        <v>1.7531219980787704</v>
      </c>
      <c r="AO1117" s="3">
        <f t="shared" si="421"/>
        <v>5.2593659942363118</v>
      </c>
      <c r="AP1117" s="1" t="str">
        <f>INDEX({"EAD";"EAD";"EAD";"EAD MOOC";"EAD";"EAD";"EAD FP";"EAD";"PRESENCIAL";"PRESENCIAL";"PRESENCIAL";"PRESENCIAL"}, MATCH(CONCATENATE(E1117, ".", F1117),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18" spans="1:43" x14ac:dyDescent="0.25">
      <c r="A1118" s="1" t="s">
        <v>27</v>
      </c>
      <c r="B1118" s="1" t="s">
        <v>58</v>
      </c>
      <c r="C1118" s="1" t="s">
        <v>29</v>
      </c>
      <c r="D1118" s="1" t="s">
        <v>59</v>
      </c>
      <c r="E1118" s="1" t="s">
        <v>120</v>
      </c>
      <c r="F1118" s="1" t="s">
        <v>21</v>
      </c>
      <c r="G1118" s="1" t="s">
        <v>121</v>
      </c>
      <c r="H1118" s="1" t="s">
        <v>106</v>
      </c>
      <c r="I1118" s="1" t="s">
        <v>107</v>
      </c>
      <c r="J1118" s="1" t="s">
        <v>108</v>
      </c>
      <c r="K1118" s="1" t="s">
        <v>109</v>
      </c>
      <c r="L1118" s="1">
        <v>2599681</v>
      </c>
      <c r="M1118" s="1" t="s">
        <v>1279</v>
      </c>
      <c r="N1118" s="5">
        <f t="shared" si="423"/>
        <v>43507</v>
      </c>
      <c r="O1118" s="5">
        <f>DATE(2023,12,22)</f>
        <v>45282</v>
      </c>
      <c r="P1118" s="5">
        <f t="shared" si="402"/>
        <v>46377</v>
      </c>
      <c r="Q1118" s="1">
        <v>4640</v>
      </c>
      <c r="R1118" s="1">
        <v>3600</v>
      </c>
      <c r="S1118" s="1">
        <f t="shared" si="403"/>
        <v>3600</v>
      </c>
      <c r="T1118" s="1">
        <v>2.5</v>
      </c>
      <c r="U1118" s="1" t="str">
        <f t="shared" si="404"/>
        <v>SIM</v>
      </c>
      <c r="V1118" s="1">
        <f t="shared" si="405"/>
        <v>1776</v>
      </c>
      <c r="W1118" s="4">
        <f t="shared" si="406"/>
        <v>2.0270270270270272</v>
      </c>
      <c r="X1118" s="4">
        <f t="shared" si="407"/>
        <v>739.8648648648649</v>
      </c>
      <c r="Y1118" s="4">
        <f t="shared" si="408"/>
        <v>0.92483108108108114</v>
      </c>
      <c r="AB1118" s="5">
        <f t="shared" si="409"/>
        <v>45292</v>
      </c>
      <c r="AC1118" s="5">
        <f t="shared" si="410"/>
        <v>45657</v>
      </c>
      <c r="AD1118" s="1">
        <v>18</v>
      </c>
      <c r="AE1118" s="1">
        <f t="shared" si="411"/>
        <v>0</v>
      </c>
      <c r="AF1118" s="1">
        <f t="shared" si="412"/>
        <v>0</v>
      </c>
      <c r="AG1118" s="1">
        <f t="shared" si="413"/>
        <v>0</v>
      </c>
      <c r="AH1118" s="1">
        <f t="shared" si="414"/>
        <v>0</v>
      </c>
      <c r="AI1118" s="1">
        <f t="shared" si="415"/>
        <v>183</v>
      </c>
      <c r="AJ1118" s="3">
        <f t="shared" si="416"/>
        <v>0.5</v>
      </c>
      <c r="AK1118" s="3">
        <f t="shared" si="417"/>
        <v>0.46241554054054057</v>
      </c>
      <c r="AL1118" s="3">
        <f t="shared" si="418"/>
        <v>4.1617398648648649</v>
      </c>
      <c r="AM1118" s="3">
        <f t="shared" si="419"/>
        <v>10.404349662162161</v>
      </c>
      <c r="AN1118" s="3">
        <f t="shared" si="420"/>
        <v>5.2021748310810807</v>
      </c>
      <c r="AO1118" s="3">
        <f t="shared" si="421"/>
        <v>15.606524493243242</v>
      </c>
      <c r="AP1118" s="1" t="str">
        <f>INDEX({"EAD";"EAD";"EAD";"EAD MOOC";"EAD";"EAD";"EAD FP";"EAD";"PRESENCIAL";"PRESENCIAL";"PRESENCIAL";"PRESENCIAL"}, MATCH(CONCATENATE(E1118, ".", F1118),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19" spans="1:43" x14ac:dyDescent="0.25">
      <c r="A1119" s="56" t="s">
        <v>27</v>
      </c>
      <c r="B1119" s="56" t="s">
        <v>58</v>
      </c>
      <c r="C1119" s="56" t="s">
        <v>29</v>
      </c>
      <c r="D1119" s="56" t="s">
        <v>59</v>
      </c>
      <c r="E1119" s="56" t="s">
        <v>120</v>
      </c>
      <c r="F1119" s="56" t="s">
        <v>21</v>
      </c>
      <c r="G1119" s="56" t="s">
        <v>140</v>
      </c>
      <c r="H1119" s="56" t="s">
        <v>1146</v>
      </c>
      <c r="I1119" s="56" t="s">
        <v>209</v>
      </c>
      <c r="J1119" s="56" t="s">
        <v>125</v>
      </c>
      <c r="K1119" s="56" t="s">
        <v>109</v>
      </c>
      <c r="L1119" s="56">
        <v>2672582</v>
      </c>
      <c r="M1119" s="56" t="s">
        <v>1280</v>
      </c>
      <c r="N1119" s="57">
        <f t="shared" ref="N1119:N1124" si="424">DATE(2020,2,3)</f>
        <v>43864</v>
      </c>
      <c r="O1119" s="57">
        <f>DATE(2022,12,16)</f>
        <v>44911</v>
      </c>
      <c r="P1119" s="57">
        <f t="shared" si="402"/>
        <v>46006</v>
      </c>
      <c r="Q1119" s="56">
        <v>2290</v>
      </c>
      <c r="R1119" s="56">
        <v>2000</v>
      </c>
      <c r="S1119" s="56">
        <f t="shared" si="403"/>
        <v>2000</v>
      </c>
      <c r="T1119" s="56">
        <v>1.5</v>
      </c>
      <c r="U1119" s="56" t="str">
        <f t="shared" si="404"/>
        <v>SIM</v>
      </c>
      <c r="V1119" s="56">
        <f t="shared" si="405"/>
        <v>1048</v>
      </c>
      <c r="W1119" s="58">
        <f t="shared" si="406"/>
        <v>1.9083969465648856</v>
      </c>
      <c r="X1119" s="58">
        <f t="shared" si="407"/>
        <v>696.56488549618325</v>
      </c>
      <c r="Y1119" s="58">
        <f t="shared" si="408"/>
        <v>0.87070610687022909</v>
      </c>
      <c r="Z1119" s="58"/>
      <c r="AA1119" s="58"/>
      <c r="AB1119" s="57">
        <f t="shared" si="409"/>
        <v>45292</v>
      </c>
      <c r="AC1119" s="57">
        <f t="shared" si="410"/>
        <v>45657</v>
      </c>
      <c r="AD1119" s="56">
        <v>5</v>
      </c>
      <c r="AE1119" s="56">
        <f t="shared" si="411"/>
        <v>0</v>
      </c>
      <c r="AF1119" s="56">
        <f t="shared" si="412"/>
        <v>0</v>
      </c>
      <c r="AG1119" s="56">
        <f t="shared" si="413"/>
        <v>0</v>
      </c>
      <c r="AH1119" s="56">
        <f t="shared" si="414"/>
        <v>0</v>
      </c>
      <c r="AI1119" s="56">
        <f t="shared" si="415"/>
        <v>183</v>
      </c>
      <c r="AJ1119" s="59">
        <f t="shared" si="416"/>
        <v>0.5</v>
      </c>
      <c r="AK1119" s="59">
        <f t="shared" si="417"/>
        <v>0.43535305343511455</v>
      </c>
      <c r="AL1119" s="59">
        <f t="shared" si="418"/>
        <v>1.0883826335877864</v>
      </c>
      <c r="AM1119" s="59">
        <f t="shared" si="419"/>
        <v>1.6325739503816796</v>
      </c>
      <c r="AN1119" s="59">
        <f t="shared" si="420"/>
        <v>0</v>
      </c>
      <c r="AO1119" s="59">
        <f t="shared" si="421"/>
        <v>1.6325739503816796</v>
      </c>
      <c r="AP1119" s="56" t="str">
        <f>INDEX({"EAD";"EAD";"EAD";"EAD MOOC";"EAD";"EAD";"EAD FP";"EAD";"PRESENCIAL";"PRESENCIAL";"PRESENCIAL";"PRESENCIAL"}, MATCH(CONCATENATE(E1119, ".", F1119),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19" s="56"/>
    </row>
    <row r="1120" spans="1:43" x14ac:dyDescent="0.25">
      <c r="A1120" s="56" t="s">
        <v>27</v>
      </c>
      <c r="B1120" s="56" t="s">
        <v>58</v>
      </c>
      <c r="C1120" s="56" t="s">
        <v>29</v>
      </c>
      <c r="D1120" s="56" t="s">
        <v>59</v>
      </c>
      <c r="E1120" s="56" t="s">
        <v>120</v>
      </c>
      <c r="F1120" s="56" t="s">
        <v>21</v>
      </c>
      <c r="G1120" s="56" t="s">
        <v>121</v>
      </c>
      <c r="H1120" s="56" t="s">
        <v>322</v>
      </c>
      <c r="I1120" s="56" t="s">
        <v>107</v>
      </c>
      <c r="J1120" s="56" t="s">
        <v>108</v>
      </c>
      <c r="K1120" s="56" t="s">
        <v>109</v>
      </c>
      <c r="L1120" s="56">
        <v>2672583</v>
      </c>
      <c r="M1120" s="56" t="s">
        <v>1281</v>
      </c>
      <c r="N1120" s="57">
        <f t="shared" si="424"/>
        <v>43864</v>
      </c>
      <c r="O1120" s="57">
        <f>DATE(2024,12,20)</f>
        <v>45646</v>
      </c>
      <c r="P1120" s="57">
        <f t="shared" si="402"/>
        <v>46741</v>
      </c>
      <c r="Q1120" s="56">
        <v>3788</v>
      </c>
      <c r="R1120" s="56">
        <v>3600</v>
      </c>
      <c r="S1120" s="56">
        <f t="shared" si="403"/>
        <v>3600</v>
      </c>
      <c r="T1120" s="56">
        <v>2.5</v>
      </c>
      <c r="U1120" s="56" t="str">
        <f t="shared" si="404"/>
        <v>SIM</v>
      </c>
      <c r="V1120" s="56">
        <f t="shared" si="405"/>
        <v>1783</v>
      </c>
      <c r="W1120" s="58">
        <f t="shared" si="406"/>
        <v>2.0190689848569825</v>
      </c>
      <c r="X1120" s="58">
        <f t="shared" si="407"/>
        <v>736.96017947279859</v>
      </c>
      <c r="Y1120" s="58">
        <f t="shared" si="408"/>
        <v>0.92120022434099824</v>
      </c>
      <c r="Z1120" s="58"/>
      <c r="AA1120" s="58"/>
      <c r="AB1120" s="57">
        <f t="shared" si="409"/>
        <v>45292</v>
      </c>
      <c r="AC1120" s="57">
        <f t="shared" si="410"/>
        <v>45657</v>
      </c>
      <c r="AD1120" s="56">
        <v>24</v>
      </c>
      <c r="AE1120" s="56">
        <f t="shared" si="411"/>
        <v>0</v>
      </c>
      <c r="AF1120" s="56">
        <f t="shared" si="412"/>
        <v>0</v>
      </c>
      <c r="AG1120" s="56">
        <f t="shared" si="413"/>
        <v>355</v>
      </c>
      <c r="AH1120" s="56">
        <f t="shared" si="414"/>
        <v>0</v>
      </c>
      <c r="AI1120" s="56">
        <f t="shared" si="415"/>
        <v>0</v>
      </c>
      <c r="AJ1120" s="59">
        <f t="shared" si="416"/>
        <v>0.9699453551912568</v>
      </c>
      <c r="AK1120" s="59">
        <f t="shared" si="417"/>
        <v>0.89351387880069499</v>
      </c>
      <c r="AL1120" s="59">
        <f t="shared" si="418"/>
        <v>21.444333091216681</v>
      </c>
      <c r="AM1120" s="59">
        <f t="shared" si="419"/>
        <v>53.6108327280417</v>
      </c>
      <c r="AN1120" s="59">
        <f t="shared" si="420"/>
        <v>26.80541636402085</v>
      </c>
      <c r="AO1120" s="59">
        <f t="shared" si="421"/>
        <v>80.416249092062543</v>
      </c>
      <c r="AP1120" s="56" t="str">
        <f>INDEX({"EAD";"EAD";"EAD";"EAD MOOC";"EAD";"EAD";"EAD FP";"EAD";"PRESENCIAL";"PRESENCIAL";"PRESENCIAL";"PRESENCIAL"}, MATCH(CONCATENATE(E1120, ".", F1120),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20" s="56"/>
    </row>
    <row r="1121" spans="1:43" x14ac:dyDescent="0.25">
      <c r="A1121" s="56" t="s">
        <v>27</v>
      </c>
      <c r="B1121" s="56" t="s">
        <v>58</v>
      </c>
      <c r="C1121" s="56" t="s">
        <v>29</v>
      </c>
      <c r="D1121" s="56" t="s">
        <v>59</v>
      </c>
      <c r="E1121" s="56" t="s">
        <v>120</v>
      </c>
      <c r="F1121" s="56" t="s">
        <v>21</v>
      </c>
      <c r="G1121" s="56" t="s">
        <v>121</v>
      </c>
      <c r="H1121" s="56" t="s">
        <v>322</v>
      </c>
      <c r="I1121" s="56" t="s">
        <v>107</v>
      </c>
      <c r="J1121" s="56" t="s">
        <v>108</v>
      </c>
      <c r="K1121" s="56" t="s">
        <v>109</v>
      </c>
      <c r="L1121" s="56">
        <v>2672584</v>
      </c>
      <c r="M1121" s="56" t="s">
        <v>1281</v>
      </c>
      <c r="N1121" s="57">
        <f t="shared" si="424"/>
        <v>43864</v>
      </c>
      <c r="O1121" s="57">
        <f>DATE(2024,12,20)</f>
        <v>45646</v>
      </c>
      <c r="P1121" s="57">
        <f t="shared" si="402"/>
        <v>46741</v>
      </c>
      <c r="Q1121" s="56">
        <v>4450</v>
      </c>
      <c r="R1121" s="56">
        <v>3600</v>
      </c>
      <c r="S1121" s="56">
        <f t="shared" si="403"/>
        <v>3600</v>
      </c>
      <c r="T1121" s="56">
        <v>2.5</v>
      </c>
      <c r="U1121" s="56" t="str">
        <f t="shared" si="404"/>
        <v>SIM</v>
      </c>
      <c r="V1121" s="56">
        <f t="shared" si="405"/>
        <v>1783</v>
      </c>
      <c r="W1121" s="58">
        <f t="shared" si="406"/>
        <v>2.0190689848569825</v>
      </c>
      <c r="X1121" s="58">
        <f t="shared" si="407"/>
        <v>736.96017947279859</v>
      </c>
      <c r="Y1121" s="58">
        <f t="shared" si="408"/>
        <v>0.92120022434099824</v>
      </c>
      <c r="Z1121" s="58"/>
      <c r="AA1121" s="58"/>
      <c r="AB1121" s="57">
        <f t="shared" si="409"/>
        <v>45292</v>
      </c>
      <c r="AC1121" s="57">
        <f t="shared" si="410"/>
        <v>45657</v>
      </c>
      <c r="AD1121" s="56">
        <v>24</v>
      </c>
      <c r="AE1121" s="56">
        <f t="shared" si="411"/>
        <v>0</v>
      </c>
      <c r="AF1121" s="56">
        <f t="shared" si="412"/>
        <v>0</v>
      </c>
      <c r="AG1121" s="56">
        <f t="shared" si="413"/>
        <v>355</v>
      </c>
      <c r="AH1121" s="56">
        <f t="shared" si="414"/>
        <v>0</v>
      </c>
      <c r="AI1121" s="56">
        <f t="shared" si="415"/>
        <v>0</v>
      </c>
      <c r="AJ1121" s="59">
        <f t="shared" si="416"/>
        <v>0.9699453551912568</v>
      </c>
      <c r="AK1121" s="59">
        <f t="shared" si="417"/>
        <v>0.89351387880069499</v>
      </c>
      <c r="AL1121" s="59">
        <f t="shared" si="418"/>
        <v>21.444333091216681</v>
      </c>
      <c r="AM1121" s="59">
        <f t="shared" si="419"/>
        <v>53.6108327280417</v>
      </c>
      <c r="AN1121" s="59">
        <f t="shared" si="420"/>
        <v>26.80541636402085</v>
      </c>
      <c r="AO1121" s="59">
        <f t="shared" si="421"/>
        <v>80.416249092062543</v>
      </c>
      <c r="AP1121" s="56" t="str">
        <f>INDEX({"EAD";"EAD";"EAD";"EAD MOOC";"EAD";"EAD";"EAD FP";"EAD";"PRESENCIAL";"PRESENCIAL";"PRESENCIAL";"PRESENCIAL"}, MATCH(CONCATENATE(E1121, ".", F1121),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21" s="56"/>
    </row>
    <row r="1122" spans="1:43" x14ac:dyDescent="0.25">
      <c r="A1122" s="1" t="s">
        <v>27</v>
      </c>
      <c r="B1122" s="1" t="s">
        <v>58</v>
      </c>
      <c r="C1122" s="1" t="s">
        <v>29</v>
      </c>
      <c r="D1122" s="1" t="s">
        <v>59</v>
      </c>
      <c r="E1122" s="1" t="s">
        <v>120</v>
      </c>
      <c r="F1122" s="1" t="s">
        <v>21</v>
      </c>
      <c r="G1122" s="1" t="s">
        <v>278</v>
      </c>
      <c r="H1122" s="1" t="s">
        <v>1017</v>
      </c>
      <c r="I1122" s="1" t="s">
        <v>172</v>
      </c>
      <c r="J1122" s="1" t="s">
        <v>125</v>
      </c>
      <c r="K1122" s="1" t="s">
        <v>109</v>
      </c>
      <c r="L1122" s="1">
        <v>2678345</v>
      </c>
      <c r="M1122" s="1" t="s">
        <v>1023</v>
      </c>
      <c r="N1122" s="5">
        <f t="shared" si="424"/>
        <v>43864</v>
      </c>
      <c r="O1122" s="5">
        <f>DATE(2023,12,31)</f>
        <v>45291</v>
      </c>
      <c r="P1122" s="5">
        <f t="shared" si="402"/>
        <v>46386</v>
      </c>
      <c r="Q1122" s="1">
        <v>3226</v>
      </c>
      <c r="R1122" s="1">
        <v>3200</v>
      </c>
      <c r="S1122" s="1">
        <f t="shared" si="403"/>
        <v>3200</v>
      </c>
      <c r="T1122" s="1">
        <v>2.5</v>
      </c>
      <c r="U1122" s="1" t="str">
        <f t="shared" si="404"/>
        <v>SIM</v>
      </c>
      <c r="V1122" s="1">
        <f t="shared" si="405"/>
        <v>1428</v>
      </c>
      <c r="W1122" s="4">
        <f t="shared" si="406"/>
        <v>2.2408963585434174</v>
      </c>
      <c r="X1122" s="4">
        <f t="shared" si="407"/>
        <v>817.92717086834739</v>
      </c>
      <c r="Y1122" s="4">
        <f t="shared" si="408"/>
        <v>1.0224089635854343</v>
      </c>
      <c r="AB1122" s="5">
        <f t="shared" si="409"/>
        <v>45292</v>
      </c>
      <c r="AC1122" s="5">
        <f t="shared" si="410"/>
        <v>45657</v>
      </c>
      <c r="AD1122" s="1">
        <v>14</v>
      </c>
      <c r="AE1122" s="1">
        <f t="shared" si="411"/>
        <v>0</v>
      </c>
      <c r="AF1122" s="1">
        <f t="shared" si="412"/>
        <v>0</v>
      </c>
      <c r="AG1122" s="1">
        <f t="shared" si="413"/>
        <v>0</v>
      </c>
      <c r="AH1122" s="1">
        <f t="shared" si="414"/>
        <v>0</v>
      </c>
      <c r="AI1122" s="1">
        <f t="shared" si="415"/>
        <v>183</v>
      </c>
      <c r="AJ1122" s="3">
        <f t="shared" si="416"/>
        <v>0.5</v>
      </c>
      <c r="AK1122" s="3">
        <f t="shared" si="417"/>
        <v>0.51120448179271716</v>
      </c>
      <c r="AL1122" s="3">
        <f t="shared" si="418"/>
        <v>3.5784313725490202</v>
      </c>
      <c r="AM1122" s="3">
        <f t="shared" si="419"/>
        <v>8.9460784313725501</v>
      </c>
      <c r="AN1122" s="3">
        <f t="shared" si="420"/>
        <v>0</v>
      </c>
      <c r="AO1122" s="3">
        <f t="shared" si="421"/>
        <v>8.9460784313725501</v>
      </c>
      <c r="AP1122" s="1" t="str">
        <f>INDEX({"EAD";"EAD";"EAD";"EAD MOOC";"EAD";"EAD";"EAD FP";"EAD";"PRESENCIAL";"PRESENCIAL";"PRESENCIAL";"PRESENCIAL"}, MATCH(CONCATENATE(E1122, ".", F1122),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23" spans="1:43" x14ac:dyDescent="0.25">
      <c r="A1123" s="1" t="s">
        <v>27</v>
      </c>
      <c r="B1123" s="1" t="s">
        <v>58</v>
      </c>
      <c r="C1123" s="1" t="s">
        <v>29</v>
      </c>
      <c r="D1123" s="1" t="s">
        <v>59</v>
      </c>
      <c r="E1123" s="1" t="s">
        <v>120</v>
      </c>
      <c r="F1123" s="1" t="s">
        <v>21</v>
      </c>
      <c r="G1123" s="1" t="s">
        <v>121</v>
      </c>
      <c r="H1123" s="1" t="s">
        <v>106</v>
      </c>
      <c r="I1123" s="1" t="s">
        <v>107</v>
      </c>
      <c r="J1123" s="1" t="s">
        <v>108</v>
      </c>
      <c r="K1123" s="1" t="s">
        <v>109</v>
      </c>
      <c r="L1123" s="1">
        <v>2703812</v>
      </c>
      <c r="M1123" s="1" t="s">
        <v>1282</v>
      </c>
      <c r="N1123" s="5">
        <f t="shared" si="424"/>
        <v>43864</v>
      </c>
      <c r="O1123" s="5">
        <f>DATE(2024,12,20)</f>
        <v>45646</v>
      </c>
      <c r="P1123" s="5">
        <f t="shared" si="402"/>
        <v>46741</v>
      </c>
      <c r="Q1123" s="1">
        <v>4640</v>
      </c>
      <c r="R1123" s="1">
        <v>3600</v>
      </c>
      <c r="S1123" s="1">
        <f t="shared" si="403"/>
        <v>3600</v>
      </c>
      <c r="T1123" s="1">
        <v>2.5</v>
      </c>
      <c r="U1123" s="1" t="str">
        <f t="shared" si="404"/>
        <v>SIM</v>
      </c>
      <c r="V1123" s="1">
        <f t="shared" si="405"/>
        <v>1783</v>
      </c>
      <c r="W1123" s="4">
        <f t="shared" si="406"/>
        <v>2.0190689848569825</v>
      </c>
      <c r="X1123" s="4">
        <f t="shared" si="407"/>
        <v>736.96017947279859</v>
      </c>
      <c r="Y1123" s="4">
        <f t="shared" si="408"/>
        <v>0.92120022434099824</v>
      </c>
      <c r="AB1123" s="5">
        <f t="shared" si="409"/>
        <v>45292</v>
      </c>
      <c r="AC1123" s="5">
        <f t="shared" si="410"/>
        <v>45657</v>
      </c>
      <c r="AD1123" s="1">
        <v>17</v>
      </c>
      <c r="AE1123" s="1">
        <f t="shared" si="411"/>
        <v>0</v>
      </c>
      <c r="AF1123" s="1">
        <f t="shared" si="412"/>
        <v>0</v>
      </c>
      <c r="AG1123" s="1">
        <f t="shared" si="413"/>
        <v>355</v>
      </c>
      <c r="AH1123" s="1">
        <f t="shared" si="414"/>
        <v>0</v>
      </c>
      <c r="AI1123" s="1">
        <f t="shared" si="415"/>
        <v>0</v>
      </c>
      <c r="AJ1123" s="3">
        <f t="shared" si="416"/>
        <v>0.9699453551912568</v>
      </c>
      <c r="AK1123" s="3">
        <f t="shared" si="417"/>
        <v>0.89351387880069499</v>
      </c>
      <c r="AL1123" s="3">
        <f t="shared" si="418"/>
        <v>15.189735939611815</v>
      </c>
      <c r="AM1123" s="3">
        <f t="shared" si="419"/>
        <v>37.974339849029533</v>
      </c>
      <c r="AN1123" s="3">
        <f t="shared" si="420"/>
        <v>18.987169924514767</v>
      </c>
      <c r="AO1123" s="3">
        <f t="shared" si="421"/>
        <v>56.9615097735443</v>
      </c>
      <c r="AP1123" s="1" t="str">
        <f>INDEX({"EAD";"EAD";"EAD";"EAD MOOC";"EAD";"EAD";"EAD FP";"EAD";"PRESENCIAL";"PRESENCIAL";"PRESENCIAL";"PRESENCIAL"}, MATCH(CONCATENATE(E1123, ".", F1123),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24" spans="1:43" x14ac:dyDescent="0.25">
      <c r="A1124" s="1" t="s">
        <v>27</v>
      </c>
      <c r="B1124" s="1" t="s">
        <v>58</v>
      </c>
      <c r="C1124" s="1" t="s">
        <v>29</v>
      </c>
      <c r="D1124" s="1" t="s">
        <v>59</v>
      </c>
      <c r="E1124" s="1" t="s">
        <v>120</v>
      </c>
      <c r="F1124" s="1" t="s">
        <v>21</v>
      </c>
      <c r="G1124" s="1" t="s">
        <v>128</v>
      </c>
      <c r="H1124" s="1" t="s">
        <v>132</v>
      </c>
      <c r="I1124" s="1" t="s">
        <v>107</v>
      </c>
      <c r="J1124" s="1" t="s">
        <v>108</v>
      </c>
      <c r="K1124" s="1" t="s">
        <v>130</v>
      </c>
      <c r="L1124" s="1">
        <v>2703816</v>
      </c>
      <c r="M1124" s="1" t="s">
        <v>1283</v>
      </c>
      <c r="N1124" s="5">
        <f t="shared" si="424"/>
        <v>43864</v>
      </c>
      <c r="O1124" s="5">
        <f>DATE(2022,12,20)</f>
        <v>44915</v>
      </c>
      <c r="P1124" s="5">
        <f t="shared" si="402"/>
        <v>46010</v>
      </c>
      <c r="Q1124" s="1">
        <v>3882</v>
      </c>
      <c r="R1124" s="1">
        <v>1200</v>
      </c>
      <c r="S1124" s="1">
        <f t="shared" si="403"/>
        <v>3200</v>
      </c>
      <c r="T1124" s="1">
        <v>2.5</v>
      </c>
      <c r="U1124" s="1" t="str">
        <f t="shared" si="404"/>
        <v>SIM</v>
      </c>
      <c r="V1124" s="1">
        <f t="shared" si="405"/>
        <v>1052</v>
      </c>
      <c r="W1124" s="4">
        <f t="shared" si="406"/>
        <v>3.041825095057034</v>
      </c>
      <c r="X1124" s="4">
        <f t="shared" si="407"/>
        <v>1110.2661596958174</v>
      </c>
      <c r="Y1124" s="4">
        <f t="shared" si="408"/>
        <v>1.3878326996197716</v>
      </c>
      <c r="AB1124" s="5">
        <f t="shared" si="409"/>
        <v>45292</v>
      </c>
      <c r="AC1124" s="5">
        <f t="shared" si="410"/>
        <v>45657</v>
      </c>
      <c r="AD1124" s="1">
        <v>33</v>
      </c>
      <c r="AE1124" s="1">
        <f t="shared" si="411"/>
        <v>0</v>
      </c>
      <c r="AF1124" s="1">
        <f t="shared" si="412"/>
        <v>0</v>
      </c>
      <c r="AG1124" s="1">
        <f t="shared" si="413"/>
        <v>0</v>
      </c>
      <c r="AH1124" s="1">
        <f t="shared" si="414"/>
        <v>0</v>
      </c>
      <c r="AI1124" s="1">
        <f t="shared" si="415"/>
        <v>183</v>
      </c>
      <c r="AJ1124" s="3">
        <f t="shared" si="416"/>
        <v>0.5</v>
      </c>
      <c r="AK1124" s="3">
        <f t="shared" si="417"/>
        <v>0.69391634980988581</v>
      </c>
      <c r="AL1124" s="3">
        <f t="shared" si="418"/>
        <v>11.449619771863116</v>
      </c>
      <c r="AM1124" s="3">
        <f t="shared" si="419"/>
        <v>28.624049429657788</v>
      </c>
      <c r="AN1124" s="3">
        <f t="shared" si="420"/>
        <v>14.312024714828894</v>
      </c>
      <c r="AO1124" s="3">
        <f t="shared" si="421"/>
        <v>42.936074144486682</v>
      </c>
      <c r="AP1124" s="1" t="str">
        <f>INDEX({"EAD";"EAD";"EAD";"EAD MOOC";"EAD";"EAD";"EAD FP";"EAD";"PRESENCIAL";"PRESENCIAL";"PRESENCIAL";"PRESENCIAL"}, MATCH(CONCATENATE(E1124, ".", F1124),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25" spans="1:43" x14ac:dyDescent="0.25">
      <c r="A1125" s="1" t="s">
        <v>27</v>
      </c>
      <c r="B1125" s="1" t="s">
        <v>58</v>
      </c>
      <c r="C1125" s="1" t="s">
        <v>29</v>
      </c>
      <c r="D1125" s="1" t="s">
        <v>59</v>
      </c>
      <c r="E1125" s="1" t="s">
        <v>120</v>
      </c>
      <c r="F1125" s="1" t="s">
        <v>21</v>
      </c>
      <c r="G1125" s="1" t="s">
        <v>128</v>
      </c>
      <c r="H1125" s="1" t="s">
        <v>907</v>
      </c>
      <c r="I1125" s="1" t="s">
        <v>224</v>
      </c>
      <c r="J1125" s="1" t="s">
        <v>125</v>
      </c>
      <c r="K1125" s="1" t="s">
        <v>130</v>
      </c>
      <c r="L1125" s="1">
        <v>2751198</v>
      </c>
      <c r="M1125" s="1" t="s">
        <v>1284</v>
      </c>
      <c r="N1125" s="5">
        <f t="shared" ref="N1125:N1131" si="425">DATE(2021,3,29)</f>
        <v>44284</v>
      </c>
      <c r="O1125" s="5">
        <f>DATE(2023,12,31)</f>
        <v>45291</v>
      </c>
      <c r="P1125" s="5">
        <f t="shared" si="402"/>
        <v>46386</v>
      </c>
      <c r="Q1125" s="1">
        <v>3706</v>
      </c>
      <c r="R1125" s="1">
        <v>1200</v>
      </c>
      <c r="S1125" s="1">
        <f t="shared" si="403"/>
        <v>3200</v>
      </c>
      <c r="T1125" s="1">
        <v>1.5</v>
      </c>
      <c r="U1125" s="1" t="str">
        <f t="shared" si="404"/>
        <v>SIM</v>
      </c>
      <c r="V1125" s="1">
        <f t="shared" si="405"/>
        <v>1008</v>
      </c>
      <c r="W1125" s="4">
        <f t="shared" si="406"/>
        <v>3.1746031746031744</v>
      </c>
      <c r="X1125" s="4">
        <f t="shared" si="407"/>
        <v>1158.7301587301586</v>
      </c>
      <c r="Y1125" s="4">
        <f t="shared" si="408"/>
        <v>1.4484126984126982</v>
      </c>
      <c r="AB1125" s="5">
        <f t="shared" si="409"/>
        <v>45292</v>
      </c>
      <c r="AC1125" s="5">
        <f t="shared" si="410"/>
        <v>45657</v>
      </c>
      <c r="AD1125" s="1">
        <v>1</v>
      </c>
      <c r="AE1125" s="1">
        <f t="shared" si="411"/>
        <v>0</v>
      </c>
      <c r="AF1125" s="1">
        <f t="shared" si="412"/>
        <v>0</v>
      </c>
      <c r="AG1125" s="1">
        <f t="shared" si="413"/>
        <v>0</v>
      </c>
      <c r="AH1125" s="1">
        <f t="shared" si="414"/>
        <v>0</v>
      </c>
      <c r="AI1125" s="1">
        <f t="shared" si="415"/>
        <v>183</v>
      </c>
      <c r="AJ1125" s="3">
        <f t="shared" si="416"/>
        <v>0.5</v>
      </c>
      <c r="AK1125" s="3">
        <f t="shared" si="417"/>
        <v>0.72420634920634908</v>
      </c>
      <c r="AL1125" s="3">
        <f t="shared" si="418"/>
        <v>0.36210317460317454</v>
      </c>
      <c r="AM1125" s="3">
        <f t="shared" si="419"/>
        <v>0.54315476190476186</v>
      </c>
      <c r="AN1125" s="3">
        <f t="shared" si="420"/>
        <v>0</v>
      </c>
      <c r="AO1125" s="3">
        <f t="shared" si="421"/>
        <v>0.54315476190476186</v>
      </c>
      <c r="AP1125" s="1" t="str">
        <f>INDEX({"EAD";"EAD";"EAD";"EAD MOOC";"EAD";"EAD";"EAD FP";"EAD";"PRESENCIAL";"PRESENCIAL";"PRESENCIAL";"PRESENCIAL"}, MATCH(CONCATENATE(E1125, ".", F1125),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26" spans="1:43" x14ac:dyDescent="0.25">
      <c r="A1126" s="1" t="s">
        <v>27</v>
      </c>
      <c r="B1126" s="1" t="s">
        <v>58</v>
      </c>
      <c r="C1126" s="1" t="s">
        <v>29</v>
      </c>
      <c r="D1126" s="1" t="s">
        <v>59</v>
      </c>
      <c r="E1126" s="1" t="s">
        <v>120</v>
      </c>
      <c r="F1126" s="1" t="s">
        <v>21</v>
      </c>
      <c r="G1126" s="1" t="s">
        <v>278</v>
      </c>
      <c r="H1126" s="1" t="s">
        <v>1017</v>
      </c>
      <c r="I1126" s="1" t="s">
        <v>172</v>
      </c>
      <c r="J1126" s="1" t="s">
        <v>125</v>
      </c>
      <c r="K1126" s="1" t="s">
        <v>109</v>
      </c>
      <c r="L1126" s="1">
        <v>2751200</v>
      </c>
      <c r="M1126" s="1" t="s">
        <v>1285</v>
      </c>
      <c r="N1126" s="5">
        <f t="shared" si="425"/>
        <v>44284</v>
      </c>
      <c r="O1126" s="5">
        <f>DATE(2024,12,31)</f>
        <v>45657</v>
      </c>
      <c r="P1126" s="5">
        <f t="shared" si="402"/>
        <v>46752</v>
      </c>
      <c r="Q1126" s="1">
        <v>3226</v>
      </c>
      <c r="R1126" s="1">
        <v>3200</v>
      </c>
      <c r="S1126" s="1">
        <f t="shared" si="403"/>
        <v>3200</v>
      </c>
      <c r="T1126" s="1">
        <v>2.5</v>
      </c>
      <c r="U1126" s="1" t="str">
        <f t="shared" si="404"/>
        <v>SIM</v>
      </c>
      <c r="V1126" s="1">
        <f t="shared" si="405"/>
        <v>1374</v>
      </c>
      <c r="W1126" s="4">
        <f t="shared" si="406"/>
        <v>2.3289665211062589</v>
      </c>
      <c r="X1126" s="4">
        <f t="shared" si="407"/>
        <v>850.07278020378453</v>
      </c>
      <c r="Y1126" s="4">
        <f t="shared" si="408"/>
        <v>1.0625909752547307</v>
      </c>
      <c r="AB1126" s="5">
        <f t="shared" si="409"/>
        <v>45292</v>
      </c>
      <c r="AC1126" s="5">
        <f t="shared" si="410"/>
        <v>45657</v>
      </c>
      <c r="AD1126" s="1">
        <v>11</v>
      </c>
      <c r="AE1126" s="1">
        <f t="shared" si="411"/>
        <v>0</v>
      </c>
      <c r="AF1126" s="1">
        <f t="shared" si="412"/>
        <v>0</v>
      </c>
      <c r="AG1126" s="1">
        <f t="shared" si="413"/>
        <v>366</v>
      </c>
      <c r="AH1126" s="1">
        <f t="shared" si="414"/>
        <v>0</v>
      </c>
      <c r="AI1126" s="1">
        <f t="shared" si="415"/>
        <v>0</v>
      </c>
      <c r="AJ1126" s="3">
        <f t="shared" si="416"/>
        <v>1</v>
      </c>
      <c r="AK1126" s="3">
        <f t="shared" si="417"/>
        <v>1.0625909752547307</v>
      </c>
      <c r="AL1126" s="3">
        <f t="shared" si="418"/>
        <v>11.688500727802037</v>
      </c>
      <c r="AM1126" s="3">
        <f t="shared" si="419"/>
        <v>29.221251819505092</v>
      </c>
      <c r="AN1126" s="3">
        <f t="shared" si="420"/>
        <v>0</v>
      </c>
      <c r="AO1126" s="3">
        <f t="shared" si="421"/>
        <v>29.221251819505092</v>
      </c>
      <c r="AP1126" s="1" t="str">
        <f>INDEX({"EAD";"EAD";"EAD";"EAD MOOC";"EAD";"EAD";"EAD FP";"EAD";"PRESENCIAL";"PRESENCIAL";"PRESENCIAL";"PRESENCIAL"}, MATCH(CONCATENATE(E1126, ".", F1126),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27" spans="1:43" x14ac:dyDescent="0.25">
      <c r="A1127" s="56" t="s">
        <v>27</v>
      </c>
      <c r="B1127" s="56" t="s">
        <v>58</v>
      </c>
      <c r="C1127" s="56" t="s">
        <v>29</v>
      </c>
      <c r="D1127" s="56" t="s">
        <v>59</v>
      </c>
      <c r="E1127" s="56" t="s">
        <v>120</v>
      </c>
      <c r="F1127" s="56" t="s">
        <v>21</v>
      </c>
      <c r="G1127" s="56" t="s">
        <v>140</v>
      </c>
      <c r="H1127" s="56" t="s">
        <v>1146</v>
      </c>
      <c r="I1127" s="56" t="s">
        <v>209</v>
      </c>
      <c r="J1127" s="56" t="s">
        <v>125</v>
      </c>
      <c r="K1127" s="56" t="s">
        <v>109</v>
      </c>
      <c r="L1127" s="56">
        <v>2759487</v>
      </c>
      <c r="M1127" s="56" t="s">
        <v>1286</v>
      </c>
      <c r="N1127" s="57">
        <f t="shared" si="425"/>
        <v>44284</v>
      </c>
      <c r="O1127" s="57">
        <f>DATE(2023,12,15)</f>
        <v>45275</v>
      </c>
      <c r="P1127" s="57">
        <f t="shared" si="402"/>
        <v>46370</v>
      </c>
      <c r="Q1127" s="56">
        <v>2210</v>
      </c>
      <c r="R1127" s="56">
        <v>2000</v>
      </c>
      <c r="S1127" s="56">
        <f t="shared" si="403"/>
        <v>2000</v>
      </c>
      <c r="T1127" s="56">
        <v>1.5</v>
      </c>
      <c r="U1127" s="56" t="str">
        <f t="shared" si="404"/>
        <v>SIM</v>
      </c>
      <c r="V1127" s="56">
        <f t="shared" si="405"/>
        <v>992</v>
      </c>
      <c r="W1127" s="58">
        <f t="shared" si="406"/>
        <v>2.0161290322580645</v>
      </c>
      <c r="X1127" s="58">
        <f t="shared" si="407"/>
        <v>735.88709677419354</v>
      </c>
      <c r="Y1127" s="58">
        <f t="shared" si="408"/>
        <v>0.91985887096774188</v>
      </c>
      <c r="Z1127" s="58"/>
      <c r="AA1127" s="58"/>
      <c r="AB1127" s="57">
        <f t="shared" si="409"/>
        <v>45292</v>
      </c>
      <c r="AC1127" s="57">
        <f t="shared" si="410"/>
        <v>45657</v>
      </c>
      <c r="AD1127" s="56">
        <v>20</v>
      </c>
      <c r="AE1127" s="56">
        <f t="shared" si="411"/>
        <v>0</v>
      </c>
      <c r="AF1127" s="56">
        <f t="shared" si="412"/>
        <v>0</v>
      </c>
      <c r="AG1127" s="56">
        <f t="shared" si="413"/>
        <v>0</v>
      </c>
      <c r="AH1127" s="56">
        <f t="shared" si="414"/>
        <v>0</v>
      </c>
      <c r="AI1127" s="56">
        <f t="shared" si="415"/>
        <v>183</v>
      </c>
      <c r="AJ1127" s="59">
        <f t="shared" si="416"/>
        <v>0.5</v>
      </c>
      <c r="AK1127" s="59">
        <f t="shared" si="417"/>
        <v>0.45992943548387094</v>
      </c>
      <c r="AL1127" s="59">
        <f t="shared" si="418"/>
        <v>4.5992943548387091</v>
      </c>
      <c r="AM1127" s="59">
        <f t="shared" si="419"/>
        <v>6.8989415322580641</v>
      </c>
      <c r="AN1127" s="59">
        <f t="shared" si="420"/>
        <v>0</v>
      </c>
      <c r="AO1127" s="59">
        <f t="shared" si="421"/>
        <v>6.8989415322580641</v>
      </c>
      <c r="AP1127" s="56" t="str">
        <f>INDEX({"EAD";"EAD";"EAD";"EAD MOOC";"EAD";"EAD";"EAD FP";"EAD";"PRESENCIAL";"PRESENCIAL";"PRESENCIAL";"PRESENCIAL"}, MATCH(CONCATENATE(E1127, ".", F1127),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27" s="56"/>
    </row>
    <row r="1128" spans="1:43" x14ac:dyDescent="0.25">
      <c r="A1128" s="56" t="s">
        <v>27</v>
      </c>
      <c r="B1128" s="56" t="s">
        <v>58</v>
      </c>
      <c r="C1128" s="56" t="s">
        <v>29</v>
      </c>
      <c r="D1128" s="56" t="s">
        <v>59</v>
      </c>
      <c r="E1128" s="56" t="s">
        <v>120</v>
      </c>
      <c r="F1128" s="56" t="s">
        <v>21</v>
      </c>
      <c r="G1128" s="56" t="s">
        <v>121</v>
      </c>
      <c r="H1128" s="56" t="s">
        <v>322</v>
      </c>
      <c r="I1128" s="56" t="s">
        <v>107</v>
      </c>
      <c r="J1128" s="56" t="s">
        <v>108</v>
      </c>
      <c r="K1128" s="56" t="s">
        <v>109</v>
      </c>
      <c r="L1128" s="56">
        <v>2759488</v>
      </c>
      <c r="M1128" s="56" t="s">
        <v>1287</v>
      </c>
      <c r="N1128" s="57">
        <f t="shared" si="425"/>
        <v>44284</v>
      </c>
      <c r="O1128" s="57">
        <f>DATE(2025,7,10)</f>
        <v>45848</v>
      </c>
      <c r="P1128" s="57">
        <f t="shared" si="402"/>
        <v>46943</v>
      </c>
      <c r="Q1128" s="56">
        <v>3784</v>
      </c>
      <c r="R1128" s="56">
        <v>3600</v>
      </c>
      <c r="S1128" s="56">
        <f t="shared" si="403"/>
        <v>3600</v>
      </c>
      <c r="T1128" s="56">
        <v>2.5</v>
      </c>
      <c r="U1128" s="56" t="str">
        <f t="shared" si="404"/>
        <v>SIM</v>
      </c>
      <c r="V1128" s="56">
        <f t="shared" si="405"/>
        <v>1565</v>
      </c>
      <c r="W1128" s="58">
        <f t="shared" si="406"/>
        <v>2.3003194888178915</v>
      </c>
      <c r="X1128" s="58">
        <f t="shared" si="407"/>
        <v>839.61661341853039</v>
      </c>
      <c r="Y1128" s="58">
        <f t="shared" si="408"/>
        <v>1.049520766773163</v>
      </c>
      <c r="Z1128" s="58"/>
      <c r="AA1128" s="58"/>
      <c r="AB1128" s="57">
        <f t="shared" si="409"/>
        <v>45292</v>
      </c>
      <c r="AC1128" s="57">
        <f t="shared" si="410"/>
        <v>45657</v>
      </c>
      <c r="AD1128" s="56">
        <v>19</v>
      </c>
      <c r="AE1128" s="56">
        <f t="shared" si="411"/>
        <v>366</v>
      </c>
      <c r="AF1128" s="56">
        <f t="shared" si="412"/>
        <v>0</v>
      </c>
      <c r="AG1128" s="56">
        <f t="shared" si="413"/>
        <v>0</v>
      </c>
      <c r="AH1128" s="56">
        <f t="shared" si="414"/>
        <v>0</v>
      </c>
      <c r="AI1128" s="56">
        <f t="shared" si="415"/>
        <v>0</v>
      </c>
      <c r="AJ1128" s="59">
        <f t="shared" si="416"/>
        <v>1</v>
      </c>
      <c r="AK1128" s="59">
        <f t="shared" si="417"/>
        <v>1.049520766773163</v>
      </c>
      <c r="AL1128" s="59">
        <f t="shared" si="418"/>
        <v>19.940894568690098</v>
      </c>
      <c r="AM1128" s="59">
        <f t="shared" si="419"/>
        <v>49.852236421725244</v>
      </c>
      <c r="AN1128" s="59">
        <f t="shared" si="420"/>
        <v>24.926118210862622</v>
      </c>
      <c r="AO1128" s="59">
        <f t="shared" si="421"/>
        <v>74.778354632587863</v>
      </c>
      <c r="AP1128" s="56" t="str">
        <f>INDEX({"EAD";"EAD";"EAD";"EAD MOOC";"EAD";"EAD";"EAD FP";"EAD";"PRESENCIAL";"PRESENCIAL";"PRESENCIAL";"PRESENCIAL"}, MATCH(CONCATENATE(E1128, ".", F1128),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28" s="56"/>
    </row>
    <row r="1129" spans="1:43" x14ac:dyDescent="0.25">
      <c r="A1129" s="56" t="s">
        <v>27</v>
      </c>
      <c r="B1129" s="56" t="s">
        <v>58</v>
      </c>
      <c r="C1129" s="56" t="s">
        <v>29</v>
      </c>
      <c r="D1129" s="56" t="s">
        <v>59</v>
      </c>
      <c r="E1129" s="56" t="s">
        <v>120</v>
      </c>
      <c r="F1129" s="56" t="s">
        <v>21</v>
      </c>
      <c r="G1129" s="56" t="s">
        <v>121</v>
      </c>
      <c r="H1129" s="56" t="s">
        <v>322</v>
      </c>
      <c r="I1129" s="56" t="s">
        <v>107</v>
      </c>
      <c r="J1129" s="56" t="s">
        <v>108</v>
      </c>
      <c r="K1129" s="56" t="s">
        <v>109</v>
      </c>
      <c r="L1129" s="56">
        <v>2759489</v>
      </c>
      <c r="M1129" s="56" t="s">
        <v>1288</v>
      </c>
      <c r="N1129" s="57">
        <f t="shared" si="425"/>
        <v>44284</v>
      </c>
      <c r="O1129" s="57">
        <f>DATE(2025,12,15)</f>
        <v>46006</v>
      </c>
      <c r="P1129" s="57">
        <f t="shared" si="402"/>
        <v>47101</v>
      </c>
      <c r="Q1129" s="56">
        <v>3788</v>
      </c>
      <c r="R1129" s="56">
        <v>3600</v>
      </c>
      <c r="S1129" s="56">
        <f t="shared" si="403"/>
        <v>3600</v>
      </c>
      <c r="T1129" s="56">
        <v>2.5</v>
      </c>
      <c r="U1129" s="56" t="str">
        <f t="shared" si="404"/>
        <v>SIM</v>
      </c>
      <c r="V1129" s="56">
        <f t="shared" si="405"/>
        <v>1723</v>
      </c>
      <c r="W1129" s="58">
        <f t="shared" si="406"/>
        <v>2.089378990133488</v>
      </c>
      <c r="X1129" s="58">
        <f t="shared" si="407"/>
        <v>762.62333139872317</v>
      </c>
      <c r="Y1129" s="58">
        <f t="shared" si="408"/>
        <v>0.95327916424840398</v>
      </c>
      <c r="Z1129" s="58"/>
      <c r="AA1129" s="58"/>
      <c r="AB1129" s="57">
        <f t="shared" si="409"/>
        <v>45292</v>
      </c>
      <c r="AC1129" s="57">
        <f t="shared" si="410"/>
        <v>45657</v>
      </c>
      <c r="AD1129" s="56">
        <v>33</v>
      </c>
      <c r="AE1129" s="56">
        <f t="shared" si="411"/>
        <v>366</v>
      </c>
      <c r="AF1129" s="56">
        <f t="shared" si="412"/>
        <v>0</v>
      </c>
      <c r="AG1129" s="56">
        <f t="shared" si="413"/>
        <v>0</v>
      </c>
      <c r="AH1129" s="56">
        <f t="shared" si="414"/>
        <v>0</v>
      </c>
      <c r="AI1129" s="56">
        <f t="shared" si="415"/>
        <v>0</v>
      </c>
      <c r="AJ1129" s="59">
        <f t="shared" si="416"/>
        <v>1</v>
      </c>
      <c r="AK1129" s="59">
        <f t="shared" si="417"/>
        <v>0.95327916424840398</v>
      </c>
      <c r="AL1129" s="59">
        <f t="shared" si="418"/>
        <v>31.458212420197331</v>
      </c>
      <c r="AM1129" s="59">
        <f t="shared" si="419"/>
        <v>78.645531050493332</v>
      </c>
      <c r="AN1129" s="59">
        <f t="shared" si="420"/>
        <v>39.322765525246666</v>
      </c>
      <c r="AO1129" s="59">
        <f t="shared" si="421"/>
        <v>117.96829657574</v>
      </c>
      <c r="AP1129" s="56" t="str">
        <f>INDEX({"EAD";"EAD";"EAD";"EAD MOOC";"EAD";"EAD";"EAD FP";"EAD";"PRESENCIAL";"PRESENCIAL";"PRESENCIAL";"PRESENCIAL"}, MATCH(CONCATENATE(E1129, ".", F1129),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29" s="56"/>
    </row>
    <row r="1130" spans="1:43" x14ac:dyDescent="0.25">
      <c r="A1130" s="1" t="s">
        <v>27</v>
      </c>
      <c r="B1130" s="1" t="s">
        <v>58</v>
      </c>
      <c r="C1130" s="1" t="s">
        <v>29</v>
      </c>
      <c r="D1130" s="1" t="s">
        <v>59</v>
      </c>
      <c r="E1130" s="1" t="s">
        <v>120</v>
      </c>
      <c r="F1130" s="1" t="s">
        <v>21</v>
      </c>
      <c r="G1130" s="1" t="s">
        <v>121</v>
      </c>
      <c r="H1130" s="1" t="s">
        <v>106</v>
      </c>
      <c r="I1130" s="1" t="s">
        <v>107</v>
      </c>
      <c r="J1130" s="1" t="s">
        <v>108</v>
      </c>
      <c r="K1130" s="1" t="s">
        <v>109</v>
      </c>
      <c r="L1130" s="1">
        <v>2774011</v>
      </c>
      <c r="M1130" s="1" t="s">
        <v>1289</v>
      </c>
      <c r="N1130" s="5">
        <f t="shared" si="425"/>
        <v>44284</v>
      </c>
      <c r="O1130" s="5">
        <f>DATE(2025,12,19)</f>
        <v>46010</v>
      </c>
      <c r="P1130" s="5">
        <f t="shared" si="402"/>
        <v>47105</v>
      </c>
      <c r="Q1130" s="1">
        <v>4640</v>
      </c>
      <c r="R1130" s="1">
        <v>3600</v>
      </c>
      <c r="S1130" s="1">
        <f t="shared" si="403"/>
        <v>3600</v>
      </c>
      <c r="T1130" s="1">
        <v>2.5</v>
      </c>
      <c r="U1130" s="1" t="str">
        <f t="shared" si="404"/>
        <v>SIM</v>
      </c>
      <c r="V1130" s="1">
        <f t="shared" si="405"/>
        <v>1727</v>
      </c>
      <c r="W1130" s="4">
        <f t="shared" si="406"/>
        <v>2.0845396641574987</v>
      </c>
      <c r="X1130" s="4">
        <f t="shared" si="407"/>
        <v>760.85697741748697</v>
      </c>
      <c r="Y1130" s="4">
        <f t="shared" si="408"/>
        <v>0.95107122177185877</v>
      </c>
      <c r="AB1130" s="5">
        <f t="shared" si="409"/>
        <v>45292</v>
      </c>
      <c r="AC1130" s="5">
        <f t="shared" si="410"/>
        <v>45657</v>
      </c>
      <c r="AD1130" s="1">
        <v>18</v>
      </c>
      <c r="AE1130" s="1">
        <f t="shared" si="411"/>
        <v>366</v>
      </c>
      <c r="AF1130" s="1">
        <f t="shared" si="412"/>
        <v>0</v>
      </c>
      <c r="AG1130" s="1">
        <f t="shared" si="413"/>
        <v>0</v>
      </c>
      <c r="AH1130" s="1">
        <f t="shared" si="414"/>
        <v>0</v>
      </c>
      <c r="AI1130" s="1">
        <f t="shared" si="415"/>
        <v>0</v>
      </c>
      <c r="AJ1130" s="3">
        <f t="shared" si="416"/>
        <v>1</v>
      </c>
      <c r="AK1130" s="3">
        <f t="shared" si="417"/>
        <v>0.95107122177185877</v>
      </c>
      <c r="AL1130" s="3">
        <f t="shared" si="418"/>
        <v>17.119281991893459</v>
      </c>
      <c r="AM1130" s="3">
        <f t="shared" si="419"/>
        <v>42.798204979733647</v>
      </c>
      <c r="AN1130" s="3">
        <f t="shared" si="420"/>
        <v>21.399102489866824</v>
      </c>
      <c r="AO1130" s="3">
        <f t="shared" si="421"/>
        <v>64.197307469600474</v>
      </c>
      <c r="AP1130" s="1" t="str">
        <f>INDEX({"EAD";"EAD";"EAD";"EAD MOOC";"EAD";"EAD";"EAD FP";"EAD";"PRESENCIAL";"PRESENCIAL";"PRESENCIAL";"PRESENCIAL"}, MATCH(CONCATENATE(E1130, ".", F1130),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31" spans="1:43" x14ac:dyDescent="0.25">
      <c r="A1131" s="1" t="s">
        <v>27</v>
      </c>
      <c r="B1131" s="1" t="s">
        <v>58</v>
      </c>
      <c r="C1131" s="1" t="s">
        <v>29</v>
      </c>
      <c r="D1131" s="1" t="s">
        <v>59</v>
      </c>
      <c r="E1131" s="1" t="s">
        <v>120</v>
      </c>
      <c r="F1131" s="1" t="s">
        <v>21</v>
      </c>
      <c r="G1131" s="1" t="s">
        <v>128</v>
      </c>
      <c r="H1131" s="1" t="s">
        <v>132</v>
      </c>
      <c r="I1131" s="1" t="s">
        <v>107</v>
      </c>
      <c r="J1131" s="1" t="s">
        <v>108</v>
      </c>
      <c r="K1131" s="1" t="s">
        <v>130</v>
      </c>
      <c r="L1131" s="1">
        <v>2774013</v>
      </c>
      <c r="M1131" s="1" t="s">
        <v>1290</v>
      </c>
      <c r="N1131" s="5">
        <f t="shared" si="425"/>
        <v>44284</v>
      </c>
      <c r="O1131" s="5">
        <f>DATE(2023,12,22)</f>
        <v>45282</v>
      </c>
      <c r="P1131" s="5">
        <f t="shared" si="402"/>
        <v>46377</v>
      </c>
      <c r="Q1131" s="1">
        <v>3882</v>
      </c>
      <c r="R1131" s="1">
        <v>1200</v>
      </c>
      <c r="S1131" s="1">
        <f t="shared" si="403"/>
        <v>3200</v>
      </c>
      <c r="T1131" s="1">
        <v>2.5</v>
      </c>
      <c r="U1131" s="1" t="str">
        <f t="shared" si="404"/>
        <v>SIM</v>
      </c>
      <c r="V1131" s="1">
        <f t="shared" si="405"/>
        <v>999</v>
      </c>
      <c r="W1131" s="4">
        <f t="shared" si="406"/>
        <v>3.2032032032032034</v>
      </c>
      <c r="X1131" s="4">
        <f t="shared" si="407"/>
        <v>1169.1691691691692</v>
      </c>
      <c r="Y1131" s="4">
        <f t="shared" si="408"/>
        <v>1.4614614614614616</v>
      </c>
      <c r="AB1131" s="5">
        <f t="shared" si="409"/>
        <v>45292</v>
      </c>
      <c r="AC1131" s="5">
        <f t="shared" si="410"/>
        <v>45657</v>
      </c>
      <c r="AD1131" s="1">
        <v>35</v>
      </c>
      <c r="AE1131" s="1">
        <f t="shared" si="411"/>
        <v>0</v>
      </c>
      <c r="AF1131" s="1">
        <f t="shared" si="412"/>
        <v>0</v>
      </c>
      <c r="AG1131" s="1">
        <f t="shared" si="413"/>
        <v>0</v>
      </c>
      <c r="AH1131" s="1">
        <f t="shared" si="414"/>
        <v>0</v>
      </c>
      <c r="AI1131" s="1">
        <f t="shared" si="415"/>
        <v>183</v>
      </c>
      <c r="AJ1131" s="3">
        <f t="shared" si="416"/>
        <v>0.5</v>
      </c>
      <c r="AK1131" s="3">
        <f t="shared" si="417"/>
        <v>0.7307307307307308</v>
      </c>
      <c r="AL1131" s="3">
        <f t="shared" si="418"/>
        <v>12.787787787787789</v>
      </c>
      <c r="AM1131" s="3">
        <f t="shared" si="419"/>
        <v>31.969469469469473</v>
      </c>
      <c r="AN1131" s="3">
        <f t="shared" si="420"/>
        <v>15.984734734734737</v>
      </c>
      <c r="AO1131" s="3">
        <f t="shared" si="421"/>
        <v>47.95420420420421</v>
      </c>
      <c r="AP1131" s="1" t="str">
        <f>INDEX({"EAD";"EAD";"EAD";"EAD MOOC";"EAD";"EAD";"EAD FP";"EAD";"PRESENCIAL";"PRESENCIAL";"PRESENCIAL";"PRESENCIAL"}, MATCH(CONCATENATE(E1131, ".", F1131),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32" spans="1:43" x14ac:dyDescent="0.25">
      <c r="A1132" s="56" t="s">
        <v>27</v>
      </c>
      <c r="B1132" s="56" t="s">
        <v>58</v>
      </c>
      <c r="C1132" s="56" t="s">
        <v>29</v>
      </c>
      <c r="D1132" s="56" t="s">
        <v>59</v>
      </c>
      <c r="E1132" s="56" t="s">
        <v>120</v>
      </c>
      <c r="F1132" s="56" t="s">
        <v>21</v>
      </c>
      <c r="G1132" s="56" t="s">
        <v>140</v>
      </c>
      <c r="H1132" s="56" t="s">
        <v>1146</v>
      </c>
      <c r="I1132" s="56" t="s">
        <v>209</v>
      </c>
      <c r="J1132" s="56" t="s">
        <v>125</v>
      </c>
      <c r="K1132" s="56" t="s">
        <v>109</v>
      </c>
      <c r="L1132" s="56">
        <v>2840617</v>
      </c>
      <c r="M1132" s="56" t="s">
        <v>1291</v>
      </c>
      <c r="N1132" s="57">
        <f t="shared" ref="N1132:N1138" si="426">DATE(2022,2,7)</f>
        <v>44599</v>
      </c>
      <c r="O1132" s="57">
        <f>DATE(2024,12,13)</f>
        <v>45639</v>
      </c>
      <c r="P1132" s="57">
        <f t="shared" si="402"/>
        <v>46734</v>
      </c>
      <c r="Q1132" s="56">
        <v>2210</v>
      </c>
      <c r="R1132" s="56">
        <v>2000</v>
      </c>
      <c r="S1132" s="56">
        <f t="shared" si="403"/>
        <v>2000</v>
      </c>
      <c r="T1132" s="56">
        <v>1.5</v>
      </c>
      <c r="U1132" s="56" t="str">
        <f t="shared" si="404"/>
        <v>SIM</v>
      </c>
      <c r="V1132" s="56">
        <f t="shared" si="405"/>
        <v>1041</v>
      </c>
      <c r="W1132" s="58">
        <f t="shared" si="406"/>
        <v>1.9212295869356388</v>
      </c>
      <c r="X1132" s="58">
        <f t="shared" si="407"/>
        <v>701.2487992315082</v>
      </c>
      <c r="Y1132" s="58">
        <f t="shared" si="408"/>
        <v>0.87656099903938522</v>
      </c>
      <c r="Z1132" s="58"/>
      <c r="AA1132" s="58"/>
      <c r="AB1132" s="57">
        <f t="shared" si="409"/>
        <v>45292</v>
      </c>
      <c r="AC1132" s="57">
        <f t="shared" si="410"/>
        <v>45657</v>
      </c>
      <c r="AD1132" s="56">
        <v>21</v>
      </c>
      <c r="AE1132" s="56">
        <f t="shared" si="411"/>
        <v>0</v>
      </c>
      <c r="AF1132" s="56">
        <f t="shared" si="412"/>
        <v>0</v>
      </c>
      <c r="AG1132" s="56">
        <f t="shared" si="413"/>
        <v>348</v>
      </c>
      <c r="AH1132" s="56">
        <f t="shared" si="414"/>
        <v>0</v>
      </c>
      <c r="AI1132" s="56">
        <f t="shared" si="415"/>
        <v>0</v>
      </c>
      <c r="AJ1132" s="59">
        <f t="shared" si="416"/>
        <v>0.95081967213114749</v>
      </c>
      <c r="AK1132" s="59">
        <f t="shared" si="417"/>
        <v>0.8334514417095793</v>
      </c>
      <c r="AL1132" s="59">
        <f t="shared" si="418"/>
        <v>17.502480275901164</v>
      </c>
      <c r="AM1132" s="59">
        <f t="shared" si="419"/>
        <v>26.253720413851745</v>
      </c>
      <c r="AN1132" s="59">
        <f t="shared" si="420"/>
        <v>0</v>
      </c>
      <c r="AO1132" s="59">
        <f t="shared" si="421"/>
        <v>26.253720413851745</v>
      </c>
      <c r="AP1132" s="56" t="str">
        <f>INDEX({"EAD";"EAD";"EAD";"EAD MOOC";"EAD";"EAD";"EAD FP";"EAD";"PRESENCIAL";"PRESENCIAL";"PRESENCIAL";"PRESENCIAL"}, MATCH(CONCATENATE(E1132, ".", F1132),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32" s="56"/>
    </row>
    <row r="1133" spans="1:43" x14ac:dyDescent="0.25">
      <c r="A1133" s="56" t="s">
        <v>27</v>
      </c>
      <c r="B1133" s="56" t="s">
        <v>58</v>
      </c>
      <c r="C1133" s="56" t="s">
        <v>29</v>
      </c>
      <c r="D1133" s="56" t="s">
        <v>59</v>
      </c>
      <c r="E1133" s="56" t="s">
        <v>120</v>
      </c>
      <c r="F1133" s="56" t="s">
        <v>21</v>
      </c>
      <c r="G1133" s="56" t="s">
        <v>121</v>
      </c>
      <c r="H1133" s="56" t="s">
        <v>322</v>
      </c>
      <c r="I1133" s="56" t="s">
        <v>107</v>
      </c>
      <c r="J1133" s="56" t="s">
        <v>108</v>
      </c>
      <c r="K1133" s="56" t="s">
        <v>109</v>
      </c>
      <c r="L1133" s="56">
        <v>2840618</v>
      </c>
      <c r="M1133" s="56" t="s">
        <v>1292</v>
      </c>
      <c r="N1133" s="57">
        <f t="shared" si="426"/>
        <v>44599</v>
      </c>
      <c r="O1133" s="57">
        <f>DATE(2026,7,18)</f>
        <v>46221</v>
      </c>
      <c r="P1133" s="57">
        <f t="shared" si="402"/>
        <v>47316</v>
      </c>
      <c r="Q1133" s="56">
        <v>3784</v>
      </c>
      <c r="R1133" s="56">
        <v>3600</v>
      </c>
      <c r="S1133" s="56">
        <f t="shared" si="403"/>
        <v>3600</v>
      </c>
      <c r="T1133" s="56">
        <v>2.5</v>
      </c>
      <c r="U1133" s="56" t="str">
        <f t="shared" si="404"/>
        <v>SIM</v>
      </c>
      <c r="V1133" s="56">
        <f t="shared" si="405"/>
        <v>1623</v>
      </c>
      <c r="W1133" s="58">
        <f t="shared" si="406"/>
        <v>2.2181146025878005</v>
      </c>
      <c r="X1133" s="58">
        <f t="shared" si="407"/>
        <v>809.61182994454714</v>
      </c>
      <c r="Y1133" s="58">
        <f t="shared" si="408"/>
        <v>1.012014787430684</v>
      </c>
      <c r="Z1133" s="58"/>
      <c r="AA1133" s="58"/>
      <c r="AB1133" s="57">
        <f t="shared" si="409"/>
        <v>45292</v>
      </c>
      <c r="AC1133" s="57">
        <f t="shared" si="410"/>
        <v>45657</v>
      </c>
      <c r="AD1133" s="56">
        <v>28</v>
      </c>
      <c r="AE1133" s="56">
        <f t="shared" si="411"/>
        <v>366</v>
      </c>
      <c r="AF1133" s="56">
        <f t="shared" si="412"/>
        <v>0</v>
      </c>
      <c r="AG1133" s="56">
        <f t="shared" si="413"/>
        <v>0</v>
      </c>
      <c r="AH1133" s="56">
        <f t="shared" si="414"/>
        <v>0</v>
      </c>
      <c r="AI1133" s="56">
        <f t="shared" si="415"/>
        <v>0</v>
      </c>
      <c r="AJ1133" s="59">
        <f t="shared" si="416"/>
        <v>1</v>
      </c>
      <c r="AK1133" s="59">
        <f t="shared" si="417"/>
        <v>1.012014787430684</v>
      </c>
      <c r="AL1133" s="59">
        <f t="shared" si="418"/>
        <v>28.336414048059151</v>
      </c>
      <c r="AM1133" s="59">
        <f t="shared" si="419"/>
        <v>70.841035120147879</v>
      </c>
      <c r="AN1133" s="59">
        <f t="shared" si="420"/>
        <v>35.420517560073939</v>
      </c>
      <c r="AO1133" s="59">
        <f t="shared" si="421"/>
        <v>106.26155268022183</v>
      </c>
      <c r="AP1133" s="56" t="str">
        <f>INDEX({"EAD";"EAD";"EAD";"EAD MOOC";"EAD";"EAD";"EAD FP";"EAD";"PRESENCIAL";"PRESENCIAL";"PRESENCIAL";"PRESENCIAL"}, MATCH(CONCATENATE(E1133, ".", F1133),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33" s="56"/>
    </row>
    <row r="1134" spans="1:43" x14ac:dyDescent="0.25">
      <c r="A1134" s="56" t="s">
        <v>27</v>
      </c>
      <c r="B1134" s="56" t="s">
        <v>58</v>
      </c>
      <c r="C1134" s="56" t="s">
        <v>29</v>
      </c>
      <c r="D1134" s="56" t="s">
        <v>59</v>
      </c>
      <c r="E1134" s="56" t="s">
        <v>120</v>
      </c>
      <c r="F1134" s="56" t="s">
        <v>21</v>
      </c>
      <c r="G1134" s="56" t="s">
        <v>121</v>
      </c>
      <c r="H1134" s="56" t="s">
        <v>322</v>
      </c>
      <c r="I1134" s="56" t="s">
        <v>107</v>
      </c>
      <c r="J1134" s="56" t="s">
        <v>108</v>
      </c>
      <c r="K1134" s="56" t="s">
        <v>109</v>
      </c>
      <c r="L1134" s="56">
        <v>2840620</v>
      </c>
      <c r="M1134" s="56" t="s">
        <v>1293</v>
      </c>
      <c r="N1134" s="57">
        <f t="shared" si="426"/>
        <v>44599</v>
      </c>
      <c r="O1134" s="57">
        <f>DATE(2026,12,19)</f>
        <v>46375</v>
      </c>
      <c r="P1134" s="57">
        <f t="shared" si="402"/>
        <v>47470</v>
      </c>
      <c r="Q1134" s="56">
        <v>3788</v>
      </c>
      <c r="R1134" s="56">
        <v>3600</v>
      </c>
      <c r="S1134" s="56">
        <f t="shared" si="403"/>
        <v>3600</v>
      </c>
      <c r="T1134" s="56">
        <v>2.5</v>
      </c>
      <c r="U1134" s="56" t="str">
        <f t="shared" si="404"/>
        <v>SIM</v>
      </c>
      <c r="V1134" s="56">
        <f t="shared" si="405"/>
        <v>1777</v>
      </c>
      <c r="W1134" s="58">
        <f t="shared" si="406"/>
        <v>2.0258863252673045</v>
      </c>
      <c r="X1134" s="58">
        <f t="shared" si="407"/>
        <v>739.44850872256609</v>
      </c>
      <c r="Y1134" s="58">
        <f t="shared" si="408"/>
        <v>0.92431063590320761</v>
      </c>
      <c r="Z1134" s="58"/>
      <c r="AA1134" s="58"/>
      <c r="AB1134" s="57">
        <f t="shared" si="409"/>
        <v>45292</v>
      </c>
      <c r="AC1134" s="57">
        <f t="shared" si="410"/>
        <v>45657</v>
      </c>
      <c r="AD1134" s="56">
        <v>29</v>
      </c>
      <c r="AE1134" s="56">
        <f t="shared" si="411"/>
        <v>366</v>
      </c>
      <c r="AF1134" s="56">
        <f t="shared" si="412"/>
        <v>0</v>
      </c>
      <c r="AG1134" s="56">
        <f t="shared" si="413"/>
        <v>0</v>
      </c>
      <c r="AH1134" s="56">
        <f t="shared" si="414"/>
        <v>0</v>
      </c>
      <c r="AI1134" s="56">
        <f t="shared" si="415"/>
        <v>0</v>
      </c>
      <c r="AJ1134" s="59">
        <f t="shared" si="416"/>
        <v>1</v>
      </c>
      <c r="AK1134" s="59">
        <f t="shared" si="417"/>
        <v>0.92431063590320761</v>
      </c>
      <c r="AL1134" s="59">
        <f t="shared" si="418"/>
        <v>26.805008441193021</v>
      </c>
      <c r="AM1134" s="59">
        <f t="shared" si="419"/>
        <v>67.012521102982546</v>
      </c>
      <c r="AN1134" s="59">
        <f t="shared" si="420"/>
        <v>33.506260551491273</v>
      </c>
      <c r="AO1134" s="59">
        <f t="shared" si="421"/>
        <v>100.51878165447383</v>
      </c>
      <c r="AP1134" s="56" t="str">
        <f>INDEX({"EAD";"EAD";"EAD";"EAD MOOC";"EAD";"EAD";"EAD FP";"EAD";"PRESENCIAL";"PRESENCIAL";"PRESENCIAL";"PRESENCIAL"}, MATCH(CONCATENATE(E1134, ".", F1134),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34" s="56"/>
    </row>
    <row r="1135" spans="1:43" x14ac:dyDescent="0.25">
      <c r="A1135" s="1" t="s">
        <v>27</v>
      </c>
      <c r="B1135" s="1" t="s">
        <v>58</v>
      </c>
      <c r="C1135" s="1" t="s">
        <v>29</v>
      </c>
      <c r="D1135" s="1" t="s">
        <v>59</v>
      </c>
      <c r="E1135" s="1" t="s">
        <v>120</v>
      </c>
      <c r="F1135" s="1" t="s">
        <v>21</v>
      </c>
      <c r="G1135" s="1" t="s">
        <v>121</v>
      </c>
      <c r="H1135" s="1" t="s">
        <v>106</v>
      </c>
      <c r="I1135" s="1" t="s">
        <v>107</v>
      </c>
      <c r="J1135" s="1" t="s">
        <v>108</v>
      </c>
      <c r="K1135" s="1" t="s">
        <v>109</v>
      </c>
      <c r="L1135" s="1">
        <v>2851411</v>
      </c>
      <c r="M1135" s="1" t="s">
        <v>1294</v>
      </c>
      <c r="N1135" s="5">
        <f t="shared" si="426"/>
        <v>44599</v>
      </c>
      <c r="O1135" s="5">
        <f>DATE(2026,7,31)</f>
        <v>46234</v>
      </c>
      <c r="P1135" s="5">
        <f t="shared" si="402"/>
        <v>47329</v>
      </c>
      <c r="Q1135" s="1">
        <v>3780</v>
      </c>
      <c r="R1135" s="1">
        <v>3600</v>
      </c>
      <c r="S1135" s="1">
        <f t="shared" si="403"/>
        <v>3600</v>
      </c>
      <c r="T1135" s="1">
        <v>2.5</v>
      </c>
      <c r="U1135" s="1" t="str">
        <f t="shared" si="404"/>
        <v>SIM</v>
      </c>
      <c r="V1135" s="1">
        <f t="shared" si="405"/>
        <v>1636</v>
      </c>
      <c r="W1135" s="4">
        <f t="shared" si="406"/>
        <v>2.2004889975550124</v>
      </c>
      <c r="X1135" s="4">
        <f t="shared" si="407"/>
        <v>803.17848410757949</v>
      </c>
      <c r="Y1135" s="4">
        <f t="shared" si="408"/>
        <v>1.0039731051344745</v>
      </c>
      <c r="AB1135" s="5">
        <f t="shared" si="409"/>
        <v>45292</v>
      </c>
      <c r="AC1135" s="5">
        <f t="shared" si="410"/>
        <v>45657</v>
      </c>
      <c r="AD1135" s="1">
        <v>23</v>
      </c>
      <c r="AE1135" s="1">
        <f t="shared" si="411"/>
        <v>366</v>
      </c>
      <c r="AF1135" s="1">
        <f t="shared" si="412"/>
        <v>0</v>
      </c>
      <c r="AG1135" s="1">
        <f t="shared" si="413"/>
        <v>0</v>
      </c>
      <c r="AH1135" s="1">
        <f t="shared" si="414"/>
        <v>0</v>
      </c>
      <c r="AI1135" s="1">
        <f t="shared" si="415"/>
        <v>0</v>
      </c>
      <c r="AJ1135" s="3">
        <f t="shared" si="416"/>
        <v>1</v>
      </c>
      <c r="AK1135" s="3">
        <f t="shared" si="417"/>
        <v>1.0039731051344745</v>
      </c>
      <c r="AL1135" s="3">
        <f t="shared" si="418"/>
        <v>23.091381418092912</v>
      </c>
      <c r="AM1135" s="3">
        <f t="shared" si="419"/>
        <v>57.728453545232277</v>
      </c>
      <c r="AN1135" s="3">
        <f t="shared" si="420"/>
        <v>28.864226772616139</v>
      </c>
      <c r="AO1135" s="3">
        <f t="shared" si="421"/>
        <v>86.592680317848419</v>
      </c>
      <c r="AP1135" s="1" t="str">
        <f>INDEX({"EAD";"EAD";"EAD";"EAD MOOC";"EAD";"EAD";"EAD FP";"EAD";"PRESENCIAL";"PRESENCIAL";"PRESENCIAL";"PRESENCIAL"}, MATCH(CONCATENATE(E1135, ".", F1135),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36" spans="1:43" x14ac:dyDescent="0.25">
      <c r="A1136" s="1" t="s">
        <v>27</v>
      </c>
      <c r="B1136" s="1" t="s">
        <v>58</v>
      </c>
      <c r="C1136" s="1" t="s">
        <v>29</v>
      </c>
      <c r="D1136" s="1" t="s">
        <v>59</v>
      </c>
      <c r="E1136" s="1" t="s">
        <v>120</v>
      </c>
      <c r="F1136" s="1" t="s">
        <v>21</v>
      </c>
      <c r="G1136" s="1" t="s">
        <v>128</v>
      </c>
      <c r="H1136" s="1" t="s">
        <v>132</v>
      </c>
      <c r="I1136" s="1" t="s">
        <v>107</v>
      </c>
      <c r="J1136" s="1" t="s">
        <v>108</v>
      </c>
      <c r="K1136" s="1" t="s">
        <v>130</v>
      </c>
      <c r="L1136" s="1">
        <v>2851507</v>
      </c>
      <c r="M1136" s="1" t="s">
        <v>1295</v>
      </c>
      <c r="N1136" s="5">
        <f t="shared" si="426"/>
        <v>44599</v>
      </c>
      <c r="O1136" s="5">
        <f>DATE(2024,12,29)</f>
        <v>45655</v>
      </c>
      <c r="P1136" s="5">
        <f t="shared" si="402"/>
        <v>46750</v>
      </c>
      <c r="Q1136" s="1">
        <v>3882</v>
      </c>
      <c r="R1136" s="1">
        <v>1200</v>
      </c>
      <c r="S1136" s="1">
        <f t="shared" si="403"/>
        <v>3200</v>
      </c>
      <c r="T1136" s="1">
        <v>2.5</v>
      </c>
      <c r="U1136" s="1" t="str">
        <f t="shared" si="404"/>
        <v>SIM</v>
      </c>
      <c r="V1136" s="1">
        <f t="shared" si="405"/>
        <v>1057</v>
      </c>
      <c r="W1136" s="4">
        <f t="shared" si="406"/>
        <v>3.0274361400189216</v>
      </c>
      <c r="X1136" s="4">
        <f t="shared" si="407"/>
        <v>1105.0141911069063</v>
      </c>
      <c r="Y1136" s="4">
        <f t="shared" si="408"/>
        <v>1.381267738883633</v>
      </c>
      <c r="AB1136" s="5">
        <f t="shared" si="409"/>
        <v>45292</v>
      </c>
      <c r="AC1136" s="5">
        <f t="shared" si="410"/>
        <v>45657</v>
      </c>
      <c r="AD1136" s="1">
        <v>113</v>
      </c>
      <c r="AE1136" s="1">
        <f t="shared" si="411"/>
        <v>0</v>
      </c>
      <c r="AF1136" s="1">
        <f t="shared" si="412"/>
        <v>0</v>
      </c>
      <c r="AG1136" s="1">
        <f t="shared" si="413"/>
        <v>364</v>
      </c>
      <c r="AH1136" s="1">
        <f t="shared" si="414"/>
        <v>0</v>
      </c>
      <c r="AI1136" s="1">
        <f t="shared" si="415"/>
        <v>0</v>
      </c>
      <c r="AJ1136" s="3">
        <f t="shared" si="416"/>
        <v>0.99453551912568305</v>
      </c>
      <c r="AK1136" s="3">
        <f t="shared" si="417"/>
        <v>1.3737198277421923</v>
      </c>
      <c r="AL1136" s="3">
        <f t="shared" si="418"/>
        <v>155.23034053486774</v>
      </c>
      <c r="AM1136" s="3">
        <f t="shared" si="419"/>
        <v>388.07585133716935</v>
      </c>
      <c r="AN1136" s="3">
        <f t="shared" si="420"/>
        <v>194.03792566858468</v>
      </c>
      <c r="AO1136" s="3">
        <f t="shared" si="421"/>
        <v>582.11377700575406</v>
      </c>
      <c r="AP1136" s="1" t="str">
        <f>INDEX({"EAD";"EAD";"EAD";"EAD MOOC";"EAD";"EAD";"EAD FP";"EAD";"PRESENCIAL";"PRESENCIAL";"PRESENCIAL";"PRESENCIAL"}, MATCH(CONCATENATE(E1136, ".", F1136),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37" spans="1:43" x14ac:dyDescent="0.25">
      <c r="A1137" s="1" t="s">
        <v>27</v>
      </c>
      <c r="B1137" s="1" t="s">
        <v>58</v>
      </c>
      <c r="C1137" s="1" t="s">
        <v>29</v>
      </c>
      <c r="D1137" s="1" t="s">
        <v>59</v>
      </c>
      <c r="E1137" s="1" t="s">
        <v>120</v>
      </c>
      <c r="F1137" s="1" t="s">
        <v>21</v>
      </c>
      <c r="G1137" s="1" t="s">
        <v>278</v>
      </c>
      <c r="H1137" s="1" t="s">
        <v>1017</v>
      </c>
      <c r="I1137" s="1" t="s">
        <v>172</v>
      </c>
      <c r="J1137" s="1" t="s">
        <v>125</v>
      </c>
      <c r="K1137" s="1" t="s">
        <v>109</v>
      </c>
      <c r="L1137" s="1">
        <v>2882695</v>
      </c>
      <c r="M1137" s="1" t="s">
        <v>1296</v>
      </c>
      <c r="N1137" s="5">
        <f t="shared" si="426"/>
        <v>44599</v>
      </c>
      <c r="O1137" s="5">
        <f>DATE(2025,12,31)</f>
        <v>46022</v>
      </c>
      <c r="P1137" s="5">
        <f t="shared" si="402"/>
        <v>47117</v>
      </c>
      <c r="Q1137" s="1">
        <v>3226</v>
      </c>
      <c r="R1137" s="1">
        <v>3200</v>
      </c>
      <c r="S1137" s="1">
        <f t="shared" si="403"/>
        <v>3200</v>
      </c>
      <c r="T1137" s="1">
        <v>2.5</v>
      </c>
      <c r="U1137" s="1" t="str">
        <f t="shared" si="404"/>
        <v>SIM</v>
      </c>
      <c r="V1137" s="1">
        <f t="shared" si="405"/>
        <v>1424</v>
      </c>
      <c r="W1137" s="4">
        <f t="shared" si="406"/>
        <v>2.2471910112359552</v>
      </c>
      <c r="X1137" s="4">
        <f t="shared" si="407"/>
        <v>820.2247191011237</v>
      </c>
      <c r="Y1137" s="4">
        <f t="shared" si="408"/>
        <v>1.0252808988764046</v>
      </c>
      <c r="AB1137" s="5">
        <f t="shared" si="409"/>
        <v>45292</v>
      </c>
      <c r="AC1137" s="5">
        <f t="shared" si="410"/>
        <v>45657</v>
      </c>
      <c r="AD1137" s="1">
        <v>11</v>
      </c>
      <c r="AE1137" s="1">
        <f t="shared" si="411"/>
        <v>366</v>
      </c>
      <c r="AF1137" s="1">
        <f t="shared" si="412"/>
        <v>0</v>
      </c>
      <c r="AG1137" s="1">
        <f t="shared" si="413"/>
        <v>0</v>
      </c>
      <c r="AH1137" s="1">
        <f t="shared" si="414"/>
        <v>0</v>
      </c>
      <c r="AI1137" s="1">
        <f t="shared" si="415"/>
        <v>0</v>
      </c>
      <c r="AJ1137" s="3">
        <f t="shared" si="416"/>
        <v>1</v>
      </c>
      <c r="AK1137" s="3">
        <f t="shared" si="417"/>
        <v>1.0252808988764046</v>
      </c>
      <c r="AL1137" s="3">
        <f t="shared" si="418"/>
        <v>11.278089887640451</v>
      </c>
      <c r="AM1137" s="3">
        <f t="shared" si="419"/>
        <v>28.195224719101127</v>
      </c>
      <c r="AN1137" s="3">
        <f t="shared" si="420"/>
        <v>0</v>
      </c>
      <c r="AO1137" s="3">
        <f t="shared" si="421"/>
        <v>28.195224719101127</v>
      </c>
      <c r="AP1137" s="1" t="str">
        <f>INDEX({"EAD";"EAD";"EAD";"EAD MOOC";"EAD";"EAD";"EAD FP";"EAD";"PRESENCIAL";"PRESENCIAL";"PRESENCIAL";"PRESENCIAL"}, MATCH(CONCATENATE(E1137, ".", F1137),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38" spans="1:43" x14ac:dyDescent="0.25">
      <c r="A1138" s="1" t="s">
        <v>27</v>
      </c>
      <c r="B1138" s="1" t="s">
        <v>58</v>
      </c>
      <c r="C1138" s="1" t="s">
        <v>29</v>
      </c>
      <c r="D1138" s="1" t="s">
        <v>59</v>
      </c>
      <c r="E1138" s="1" t="s">
        <v>120</v>
      </c>
      <c r="F1138" s="1" t="s">
        <v>21</v>
      </c>
      <c r="G1138" s="1" t="s">
        <v>128</v>
      </c>
      <c r="H1138" s="1" t="s">
        <v>907</v>
      </c>
      <c r="I1138" s="1" t="s">
        <v>224</v>
      </c>
      <c r="J1138" s="1" t="s">
        <v>125</v>
      </c>
      <c r="K1138" s="1" t="s">
        <v>130</v>
      </c>
      <c r="L1138" s="1">
        <v>2900189</v>
      </c>
      <c r="M1138" s="1" t="s">
        <v>1067</v>
      </c>
      <c r="N1138" s="5">
        <f t="shared" si="426"/>
        <v>44599</v>
      </c>
      <c r="O1138" s="5">
        <f>DATE(2024,12,31)</f>
        <v>45657</v>
      </c>
      <c r="P1138" s="5">
        <f t="shared" si="402"/>
        <v>46752</v>
      </c>
      <c r="Q1138" s="1">
        <v>3226</v>
      </c>
      <c r="R1138" s="1">
        <v>1200</v>
      </c>
      <c r="S1138" s="1">
        <f t="shared" si="403"/>
        <v>3200</v>
      </c>
      <c r="T1138" s="1">
        <v>1.5</v>
      </c>
      <c r="U1138" s="1" t="str">
        <f t="shared" si="404"/>
        <v>SIM</v>
      </c>
      <c r="V1138" s="1">
        <f t="shared" si="405"/>
        <v>1059</v>
      </c>
      <c r="W1138" s="4">
        <f t="shared" si="406"/>
        <v>3.0217186024551466</v>
      </c>
      <c r="X1138" s="4">
        <f t="shared" si="407"/>
        <v>1102.9272898961285</v>
      </c>
      <c r="Y1138" s="4">
        <f t="shared" si="408"/>
        <v>1.3786591123701606</v>
      </c>
      <c r="AB1138" s="5">
        <f t="shared" si="409"/>
        <v>45292</v>
      </c>
      <c r="AC1138" s="5">
        <f t="shared" si="410"/>
        <v>45657</v>
      </c>
      <c r="AD1138" s="1">
        <v>33</v>
      </c>
      <c r="AE1138" s="1">
        <f t="shared" si="411"/>
        <v>0</v>
      </c>
      <c r="AF1138" s="1">
        <f t="shared" si="412"/>
        <v>0</v>
      </c>
      <c r="AG1138" s="1">
        <f t="shared" si="413"/>
        <v>366</v>
      </c>
      <c r="AH1138" s="1">
        <f t="shared" si="414"/>
        <v>0</v>
      </c>
      <c r="AI1138" s="1">
        <f t="shared" si="415"/>
        <v>0</v>
      </c>
      <c r="AJ1138" s="3">
        <f t="shared" si="416"/>
        <v>1</v>
      </c>
      <c r="AK1138" s="3">
        <f t="shared" si="417"/>
        <v>1.3786591123701606</v>
      </c>
      <c r="AL1138" s="3">
        <f t="shared" si="418"/>
        <v>45.495750708215297</v>
      </c>
      <c r="AM1138" s="3">
        <f t="shared" si="419"/>
        <v>68.243626062322946</v>
      </c>
      <c r="AN1138" s="3">
        <f t="shared" si="420"/>
        <v>0</v>
      </c>
      <c r="AO1138" s="3">
        <f t="shared" si="421"/>
        <v>68.243626062322946</v>
      </c>
      <c r="AP1138" s="1" t="str">
        <f>INDEX({"EAD";"EAD";"EAD";"EAD MOOC";"EAD";"EAD";"EAD FP";"EAD";"PRESENCIAL";"PRESENCIAL";"PRESENCIAL";"PRESENCIAL"}, MATCH(CONCATENATE(E1138, ".", F1138),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39" spans="1:43" x14ac:dyDescent="0.25">
      <c r="A1139" s="1" t="s">
        <v>27</v>
      </c>
      <c r="B1139" s="1" t="s">
        <v>58</v>
      </c>
      <c r="C1139" s="1" t="s">
        <v>29</v>
      </c>
      <c r="D1139" s="1" t="s">
        <v>59</v>
      </c>
      <c r="E1139" s="1" t="s">
        <v>120</v>
      </c>
      <c r="F1139" s="1" t="s">
        <v>21</v>
      </c>
      <c r="G1139" s="1" t="s">
        <v>128</v>
      </c>
      <c r="H1139" s="1" t="s">
        <v>1297</v>
      </c>
      <c r="I1139" s="1" t="s">
        <v>172</v>
      </c>
      <c r="J1139" s="1" t="s">
        <v>125</v>
      </c>
      <c r="K1139" s="1" t="s">
        <v>163</v>
      </c>
      <c r="L1139" s="1">
        <v>2882689</v>
      </c>
      <c r="M1139" s="1" t="s">
        <v>1298</v>
      </c>
      <c r="N1139" s="5">
        <f>DATE(2022,2,11)</f>
        <v>44603</v>
      </c>
      <c r="O1139" s="5">
        <f>DATE(2023,7,31)</f>
        <v>45138</v>
      </c>
      <c r="P1139" s="5">
        <f t="shared" si="402"/>
        <v>46233</v>
      </c>
      <c r="Q1139" s="1">
        <v>816</v>
      </c>
      <c r="R1139" s="1">
        <v>800</v>
      </c>
      <c r="S1139" s="1">
        <f t="shared" si="403"/>
        <v>800</v>
      </c>
      <c r="T1139" s="1">
        <v>2.5</v>
      </c>
      <c r="U1139" s="1" t="str">
        <f t="shared" si="404"/>
        <v>SIM</v>
      </c>
      <c r="V1139" s="1">
        <f t="shared" si="405"/>
        <v>536</v>
      </c>
      <c r="W1139" s="4">
        <f t="shared" si="406"/>
        <v>1.4925373134328359</v>
      </c>
      <c r="X1139" s="4">
        <f t="shared" si="407"/>
        <v>544.77611940298516</v>
      </c>
      <c r="Y1139" s="4">
        <f t="shared" si="408"/>
        <v>0.68097014925373145</v>
      </c>
      <c r="AB1139" s="5">
        <f t="shared" si="409"/>
        <v>45292</v>
      </c>
      <c r="AC1139" s="5">
        <f t="shared" si="410"/>
        <v>45657</v>
      </c>
      <c r="AD1139" s="1">
        <v>1</v>
      </c>
      <c r="AE1139" s="1">
        <f t="shared" si="411"/>
        <v>0</v>
      </c>
      <c r="AF1139" s="1">
        <f t="shared" si="412"/>
        <v>0</v>
      </c>
      <c r="AG1139" s="1">
        <f t="shared" si="413"/>
        <v>0</v>
      </c>
      <c r="AH1139" s="1">
        <f t="shared" si="414"/>
        <v>0</v>
      </c>
      <c r="AI1139" s="1">
        <f t="shared" si="415"/>
        <v>183</v>
      </c>
      <c r="AJ1139" s="3">
        <f t="shared" si="416"/>
        <v>0.5</v>
      </c>
      <c r="AK1139" s="3">
        <f t="shared" si="417"/>
        <v>0.34048507462686572</v>
      </c>
      <c r="AL1139" s="3">
        <f t="shared" si="418"/>
        <v>0.17024253731343286</v>
      </c>
      <c r="AM1139" s="3">
        <f t="shared" si="419"/>
        <v>0.42560634328358216</v>
      </c>
      <c r="AN1139" s="3">
        <f t="shared" si="420"/>
        <v>0</v>
      </c>
      <c r="AO1139" s="3">
        <f t="shared" si="421"/>
        <v>0.42560634328358216</v>
      </c>
      <c r="AP1139" s="1" t="str">
        <f>INDEX({"EAD";"EAD";"EAD";"EAD MOOC";"EAD";"EAD";"EAD FP";"EAD";"PRESENCIAL";"PRESENCIAL";"PRESENCIAL";"PRESENCIAL"}, MATCH(CONCATENATE(E1139, ".", F1139),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40" spans="1:43" x14ac:dyDescent="0.25">
      <c r="A1140" s="1" t="s">
        <v>27</v>
      </c>
      <c r="B1140" s="1" t="s">
        <v>58</v>
      </c>
      <c r="C1140" s="1" t="s">
        <v>29</v>
      </c>
      <c r="D1140" s="1" t="s">
        <v>59</v>
      </c>
      <c r="E1140" s="1" t="s">
        <v>120</v>
      </c>
      <c r="F1140" s="1" t="s">
        <v>21</v>
      </c>
      <c r="G1140" s="1" t="s">
        <v>128</v>
      </c>
      <c r="H1140" s="1" t="s">
        <v>132</v>
      </c>
      <c r="I1140" s="1" t="s">
        <v>107</v>
      </c>
      <c r="J1140" s="1" t="s">
        <v>108</v>
      </c>
      <c r="K1140" s="1" t="s">
        <v>130</v>
      </c>
      <c r="L1140" s="1">
        <v>2947944</v>
      </c>
      <c r="M1140" s="1" t="s">
        <v>1299</v>
      </c>
      <c r="N1140" s="5">
        <f t="shared" ref="N1140:N1146" si="427">DATE(2023,1,30)</f>
        <v>44956</v>
      </c>
      <c r="O1140" s="5">
        <f>DATE(2025,12,29)</f>
        <v>46020</v>
      </c>
      <c r="P1140" s="5">
        <f t="shared" si="402"/>
        <v>47115</v>
      </c>
      <c r="Q1140" s="1">
        <v>3882</v>
      </c>
      <c r="R1140" s="1">
        <v>1200</v>
      </c>
      <c r="S1140" s="1">
        <f t="shared" si="403"/>
        <v>3200</v>
      </c>
      <c r="T1140" s="1">
        <v>2.5</v>
      </c>
      <c r="U1140" s="1" t="str">
        <f t="shared" si="404"/>
        <v>SIM</v>
      </c>
      <c r="V1140" s="1">
        <f t="shared" si="405"/>
        <v>1065</v>
      </c>
      <c r="W1140" s="4">
        <f t="shared" si="406"/>
        <v>3.004694835680751</v>
      </c>
      <c r="X1140" s="4">
        <f t="shared" si="407"/>
        <v>1096.7136150234742</v>
      </c>
      <c r="Y1140" s="4">
        <f t="shared" si="408"/>
        <v>1.3708920187793427</v>
      </c>
      <c r="AB1140" s="5">
        <f t="shared" si="409"/>
        <v>45292</v>
      </c>
      <c r="AC1140" s="5">
        <f t="shared" si="410"/>
        <v>45657</v>
      </c>
      <c r="AD1140" s="1">
        <v>157</v>
      </c>
      <c r="AE1140" s="1">
        <f t="shared" si="411"/>
        <v>366</v>
      </c>
      <c r="AF1140" s="1">
        <f t="shared" si="412"/>
        <v>0</v>
      </c>
      <c r="AG1140" s="1">
        <f t="shared" si="413"/>
        <v>0</v>
      </c>
      <c r="AH1140" s="1">
        <f t="shared" si="414"/>
        <v>0</v>
      </c>
      <c r="AI1140" s="1">
        <f t="shared" si="415"/>
        <v>0</v>
      </c>
      <c r="AJ1140" s="3">
        <f t="shared" si="416"/>
        <v>1</v>
      </c>
      <c r="AK1140" s="3">
        <f t="shared" si="417"/>
        <v>1.3708920187793427</v>
      </c>
      <c r="AL1140" s="3">
        <f t="shared" si="418"/>
        <v>215.2300469483568</v>
      </c>
      <c r="AM1140" s="3">
        <f t="shared" si="419"/>
        <v>538.07511737089203</v>
      </c>
      <c r="AN1140" s="3">
        <f t="shared" si="420"/>
        <v>269.03755868544602</v>
      </c>
      <c r="AO1140" s="3">
        <f t="shared" si="421"/>
        <v>807.11267605633805</v>
      </c>
      <c r="AP1140" s="1" t="str">
        <f>INDEX({"EAD";"EAD";"EAD";"EAD MOOC";"EAD";"EAD";"EAD FP";"EAD";"PRESENCIAL";"PRESENCIAL";"PRESENCIAL";"PRESENCIAL"}, MATCH(CONCATENATE(E1140, ".", F1140),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41" spans="1:43" x14ac:dyDescent="0.25">
      <c r="A1141" s="1" t="s">
        <v>27</v>
      </c>
      <c r="B1141" s="1" t="s">
        <v>58</v>
      </c>
      <c r="C1141" s="1" t="s">
        <v>29</v>
      </c>
      <c r="D1141" s="1" t="s">
        <v>59</v>
      </c>
      <c r="E1141" s="1" t="s">
        <v>120</v>
      </c>
      <c r="F1141" s="1" t="s">
        <v>21</v>
      </c>
      <c r="G1141" s="1" t="s">
        <v>121</v>
      </c>
      <c r="H1141" s="1" t="s">
        <v>106</v>
      </c>
      <c r="I1141" s="1" t="s">
        <v>107</v>
      </c>
      <c r="J1141" s="1" t="s">
        <v>108</v>
      </c>
      <c r="K1141" s="1" t="s">
        <v>109</v>
      </c>
      <c r="L1141" s="1">
        <v>2948566</v>
      </c>
      <c r="M1141" s="1" t="s">
        <v>1300</v>
      </c>
      <c r="N1141" s="5">
        <f t="shared" si="427"/>
        <v>44956</v>
      </c>
      <c r="O1141" s="5">
        <f>DATE(2027,12,29)</f>
        <v>46750</v>
      </c>
      <c r="P1141" s="5">
        <f t="shared" si="402"/>
        <v>47845</v>
      </c>
      <c r="Q1141" s="1">
        <v>3780</v>
      </c>
      <c r="R1141" s="1">
        <v>3600</v>
      </c>
      <c r="S1141" s="1">
        <f t="shared" si="403"/>
        <v>3600</v>
      </c>
      <c r="T1141" s="1">
        <v>2.5</v>
      </c>
      <c r="U1141" s="1" t="str">
        <f t="shared" si="404"/>
        <v>SIM</v>
      </c>
      <c r="V1141" s="1">
        <f t="shared" si="405"/>
        <v>1795</v>
      </c>
      <c r="W1141" s="4">
        <f t="shared" si="406"/>
        <v>2.0055710306406684</v>
      </c>
      <c r="X1141" s="4">
        <f t="shared" si="407"/>
        <v>732.03342618384397</v>
      </c>
      <c r="Y1141" s="4">
        <f t="shared" si="408"/>
        <v>0.91504178272980496</v>
      </c>
      <c r="AB1141" s="5">
        <f t="shared" si="409"/>
        <v>45292</v>
      </c>
      <c r="AC1141" s="5">
        <f t="shared" si="410"/>
        <v>45657</v>
      </c>
      <c r="AD1141" s="1">
        <v>34</v>
      </c>
      <c r="AE1141" s="1">
        <f t="shared" si="411"/>
        <v>366</v>
      </c>
      <c r="AF1141" s="1">
        <f t="shared" si="412"/>
        <v>0</v>
      </c>
      <c r="AG1141" s="1">
        <f t="shared" si="413"/>
        <v>0</v>
      </c>
      <c r="AH1141" s="1">
        <f t="shared" si="414"/>
        <v>0</v>
      </c>
      <c r="AI1141" s="1">
        <f t="shared" si="415"/>
        <v>0</v>
      </c>
      <c r="AJ1141" s="3">
        <f t="shared" si="416"/>
        <v>1</v>
      </c>
      <c r="AK1141" s="3">
        <f t="shared" si="417"/>
        <v>0.91504178272980496</v>
      </c>
      <c r="AL1141" s="3">
        <f t="shared" si="418"/>
        <v>31.111420612813369</v>
      </c>
      <c r="AM1141" s="3">
        <f t="shared" si="419"/>
        <v>77.778551532033418</v>
      </c>
      <c r="AN1141" s="3">
        <f t="shared" si="420"/>
        <v>38.889275766016709</v>
      </c>
      <c r="AO1141" s="3">
        <f t="shared" si="421"/>
        <v>116.66782729805013</v>
      </c>
      <c r="AP1141" s="1" t="str">
        <f>INDEX({"EAD";"EAD";"EAD";"EAD MOOC";"EAD";"EAD";"EAD FP";"EAD";"PRESENCIAL";"PRESENCIAL";"PRESENCIAL";"PRESENCIAL"}, MATCH(CONCATENATE(E1141, ".", F1141),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42" spans="1:43" x14ac:dyDescent="0.25">
      <c r="A1142" s="1" t="s">
        <v>27</v>
      </c>
      <c r="B1142" s="1" t="s">
        <v>58</v>
      </c>
      <c r="C1142" s="1" t="s">
        <v>29</v>
      </c>
      <c r="D1142" s="1" t="s">
        <v>59</v>
      </c>
      <c r="E1142" s="1" t="s">
        <v>120</v>
      </c>
      <c r="F1142" s="1" t="s">
        <v>21</v>
      </c>
      <c r="G1142" s="1" t="s">
        <v>278</v>
      </c>
      <c r="H1142" s="1" t="s">
        <v>1017</v>
      </c>
      <c r="I1142" s="1" t="s">
        <v>172</v>
      </c>
      <c r="J1142" s="1" t="s">
        <v>125</v>
      </c>
      <c r="K1142" s="1" t="s">
        <v>109</v>
      </c>
      <c r="L1142" s="1">
        <v>2951928</v>
      </c>
      <c r="M1142" s="1" t="s">
        <v>1301</v>
      </c>
      <c r="N1142" s="5">
        <f t="shared" si="427"/>
        <v>44956</v>
      </c>
      <c r="O1142" s="5">
        <f>DATE(2026,12,31)</f>
        <v>46387</v>
      </c>
      <c r="P1142" s="5">
        <f t="shared" si="402"/>
        <v>47482</v>
      </c>
      <c r="Q1142" s="1">
        <v>3205</v>
      </c>
      <c r="R1142" s="1">
        <v>3200</v>
      </c>
      <c r="S1142" s="1">
        <f t="shared" si="403"/>
        <v>3200</v>
      </c>
      <c r="T1142" s="1">
        <v>2.5</v>
      </c>
      <c r="U1142" s="1" t="str">
        <f t="shared" si="404"/>
        <v>SIM</v>
      </c>
      <c r="V1142" s="1">
        <f t="shared" si="405"/>
        <v>1432</v>
      </c>
      <c r="W1142" s="4">
        <f t="shared" si="406"/>
        <v>2.2346368715083798</v>
      </c>
      <c r="X1142" s="4">
        <f t="shared" si="407"/>
        <v>815.64245810055866</v>
      </c>
      <c r="Y1142" s="4">
        <f t="shared" si="408"/>
        <v>1.0195530726256983</v>
      </c>
      <c r="AB1142" s="5">
        <f t="shared" si="409"/>
        <v>45292</v>
      </c>
      <c r="AC1142" s="5">
        <f t="shared" si="410"/>
        <v>45657</v>
      </c>
      <c r="AD1142" s="1">
        <v>32</v>
      </c>
      <c r="AE1142" s="1">
        <f t="shared" si="411"/>
        <v>366</v>
      </c>
      <c r="AF1142" s="1">
        <f t="shared" si="412"/>
        <v>0</v>
      </c>
      <c r="AG1142" s="1">
        <f t="shared" si="413"/>
        <v>0</v>
      </c>
      <c r="AH1142" s="1">
        <f t="shared" si="414"/>
        <v>0</v>
      </c>
      <c r="AI1142" s="1">
        <f t="shared" si="415"/>
        <v>0</v>
      </c>
      <c r="AJ1142" s="3">
        <f t="shared" si="416"/>
        <v>1</v>
      </c>
      <c r="AK1142" s="3">
        <f t="shared" si="417"/>
        <v>1.0195530726256983</v>
      </c>
      <c r="AL1142" s="3">
        <f t="shared" si="418"/>
        <v>32.625698324022345</v>
      </c>
      <c r="AM1142" s="3">
        <f t="shared" si="419"/>
        <v>81.564245810055866</v>
      </c>
      <c r="AN1142" s="3">
        <f t="shared" si="420"/>
        <v>0</v>
      </c>
      <c r="AO1142" s="3">
        <f t="shared" si="421"/>
        <v>81.564245810055866</v>
      </c>
      <c r="AP1142" s="1" t="str">
        <f>INDEX({"EAD";"EAD";"EAD";"EAD MOOC";"EAD";"EAD";"EAD FP";"EAD";"PRESENCIAL";"PRESENCIAL";"PRESENCIAL";"PRESENCIAL"}, MATCH(CONCATENATE(E1142, ".", F1142),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43" spans="1:43" x14ac:dyDescent="0.25">
      <c r="A1143" s="1" t="s">
        <v>27</v>
      </c>
      <c r="B1143" s="1" t="s">
        <v>58</v>
      </c>
      <c r="C1143" s="1" t="s">
        <v>29</v>
      </c>
      <c r="D1143" s="1" t="s">
        <v>59</v>
      </c>
      <c r="E1143" s="1" t="s">
        <v>120</v>
      </c>
      <c r="F1143" s="1" t="s">
        <v>21</v>
      </c>
      <c r="G1143" s="1" t="s">
        <v>128</v>
      </c>
      <c r="H1143" s="1" t="s">
        <v>907</v>
      </c>
      <c r="I1143" s="1" t="s">
        <v>224</v>
      </c>
      <c r="J1143" s="1" t="s">
        <v>125</v>
      </c>
      <c r="K1143" s="1" t="s">
        <v>130</v>
      </c>
      <c r="L1143" s="1">
        <v>2952368</v>
      </c>
      <c r="M1143" s="1" t="s">
        <v>1302</v>
      </c>
      <c r="N1143" s="5">
        <f t="shared" si="427"/>
        <v>44956</v>
      </c>
      <c r="O1143" s="5">
        <f>DATE(2025,12,31)</f>
        <v>46022</v>
      </c>
      <c r="P1143" s="5">
        <f t="shared" si="402"/>
        <v>47117</v>
      </c>
      <c r="Q1143" s="1">
        <v>3672</v>
      </c>
      <c r="R1143" s="1">
        <v>1200</v>
      </c>
      <c r="S1143" s="1">
        <f t="shared" si="403"/>
        <v>3200</v>
      </c>
      <c r="T1143" s="1">
        <v>1.5</v>
      </c>
      <c r="U1143" s="1" t="str">
        <f t="shared" si="404"/>
        <v>SIM</v>
      </c>
      <c r="V1143" s="1">
        <f t="shared" si="405"/>
        <v>1067</v>
      </c>
      <c r="W1143" s="4">
        <f t="shared" si="406"/>
        <v>2.999062792877226</v>
      </c>
      <c r="X1143" s="4">
        <f t="shared" si="407"/>
        <v>1094.6579194001874</v>
      </c>
      <c r="Y1143" s="4">
        <f t="shared" si="408"/>
        <v>1.3683223992502342</v>
      </c>
      <c r="AB1143" s="5">
        <f t="shared" si="409"/>
        <v>45292</v>
      </c>
      <c r="AC1143" s="5">
        <f t="shared" si="410"/>
        <v>45657</v>
      </c>
      <c r="AD1143" s="1">
        <v>68</v>
      </c>
      <c r="AE1143" s="1">
        <f t="shared" si="411"/>
        <v>366</v>
      </c>
      <c r="AF1143" s="1">
        <f t="shared" si="412"/>
        <v>0</v>
      </c>
      <c r="AG1143" s="1">
        <f t="shared" si="413"/>
        <v>0</v>
      </c>
      <c r="AH1143" s="1">
        <f t="shared" si="414"/>
        <v>0</v>
      </c>
      <c r="AI1143" s="1">
        <f t="shared" si="415"/>
        <v>0</v>
      </c>
      <c r="AJ1143" s="3">
        <f t="shared" si="416"/>
        <v>1</v>
      </c>
      <c r="AK1143" s="3">
        <f t="shared" si="417"/>
        <v>1.3683223992502342</v>
      </c>
      <c r="AL1143" s="3">
        <f t="shared" si="418"/>
        <v>93.045923149015934</v>
      </c>
      <c r="AM1143" s="3">
        <f t="shared" si="419"/>
        <v>139.56888472352389</v>
      </c>
      <c r="AN1143" s="3">
        <f t="shared" si="420"/>
        <v>0</v>
      </c>
      <c r="AO1143" s="3">
        <f t="shared" si="421"/>
        <v>139.56888472352389</v>
      </c>
      <c r="AP1143" s="1" t="str">
        <f>INDEX({"EAD";"EAD";"EAD";"EAD MOOC";"EAD";"EAD";"EAD FP";"EAD";"PRESENCIAL";"PRESENCIAL";"PRESENCIAL";"PRESENCIAL"}, MATCH(CONCATENATE(E1143, ".", F1143),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44" spans="1:43" x14ac:dyDescent="0.25">
      <c r="A1144" s="56" t="s">
        <v>27</v>
      </c>
      <c r="B1144" s="56" t="s">
        <v>58</v>
      </c>
      <c r="C1144" s="56" t="s">
        <v>29</v>
      </c>
      <c r="D1144" s="56" t="s">
        <v>59</v>
      </c>
      <c r="E1144" s="56" t="s">
        <v>120</v>
      </c>
      <c r="F1144" s="56" t="s">
        <v>21</v>
      </c>
      <c r="G1144" s="56" t="s">
        <v>121</v>
      </c>
      <c r="H1144" s="56" t="s">
        <v>322</v>
      </c>
      <c r="I1144" s="56" t="s">
        <v>107</v>
      </c>
      <c r="J1144" s="56" t="s">
        <v>108</v>
      </c>
      <c r="K1144" s="56" t="s">
        <v>109</v>
      </c>
      <c r="L1144" s="56">
        <v>2953038</v>
      </c>
      <c r="M1144" s="56" t="s">
        <v>1303</v>
      </c>
      <c r="N1144" s="57">
        <f t="shared" si="427"/>
        <v>44956</v>
      </c>
      <c r="O1144" s="57">
        <f>DATE(2027,7,30)</f>
        <v>46598</v>
      </c>
      <c r="P1144" s="57">
        <f t="shared" si="402"/>
        <v>47693</v>
      </c>
      <c r="Q1144" s="56">
        <v>3784</v>
      </c>
      <c r="R1144" s="56">
        <v>3600</v>
      </c>
      <c r="S1144" s="56">
        <f t="shared" si="403"/>
        <v>3600</v>
      </c>
      <c r="T1144" s="56">
        <v>2.5</v>
      </c>
      <c r="U1144" s="56" t="str">
        <f t="shared" si="404"/>
        <v>SIM</v>
      </c>
      <c r="V1144" s="56">
        <f t="shared" si="405"/>
        <v>1643</v>
      </c>
      <c r="W1144" s="58">
        <f t="shared" si="406"/>
        <v>2.1911138161898966</v>
      </c>
      <c r="X1144" s="58">
        <f t="shared" si="407"/>
        <v>799.75654290931232</v>
      </c>
      <c r="Y1144" s="58">
        <f t="shared" si="408"/>
        <v>0.99969567863664044</v>
      </c>
      <c r="Z1144" s="58"/>
      <c r="AA1144" s="58"/>
      <c r="AB1144" s="57">
        <f t="shared" si="409"/>
        <v>45292</v>
      </c>
      <c r="AC1144" s="57">
        <f t="shared" si="410"/>
        <v>45657</v>
      </c>
      <c r="AD1144" s="56">
        <v>31</v>
      </c>
      <c r="AE1144" s="56">
        <f t="shared" si="411"/>
        <v>366</v>
      </c>
      <c r="AF1144" s="56">
        <f t="shared" si="412"/>
        <v>0</v>
      </c>
      <c r="AG1144" s="56">
        <f t="shared" si="413"/>
        <v>0</v>
      </c>
      <c r="AH1144" s="56">
        <f t="shared" si="414"/>
        <v>0</v>
      </c>
      <c r="AI1144" s="56">
        <f t="shared" si="415"/>
        <v>0</v>
      </c>
      <c r="AJ1144" s="59">
        <f t="shared" si="416"/>
        <v>1</v>
      </c>
      <c r="AK1144" s="59">
        <f t="shared" si="417"/>
        <v>0.99969567863664044</v>
      </c>
      <c r="AL1144" s="59">
        <f t="shared" si="418"/>
        <v>30.990566037735853</v>
      </c>
      <c r="AM1144" s="59">
        <f t="shared" si="419"/>
        <v>77.476415094339629</v>
      </c>
      <c r="AN1144" s="59">
        <f t="shared" si="420"/>
        <v>38.738207547169814</v>
      </c>
      <c r="AO1144" s="59">
        <f t="shared" si="421"/>
        <v>116.21462264150944</v>
      </c>
      <c r="AP1144" s="56" t="str">
        <f>INDEX({"EAD";"EAD";"EAD";"EAD MOOC";"EAD";"EAD";"EAD FP";"EAD";"PRESENCIAL";"PRESENCIAL";"PRESENCIAL";"PRESENCIAL"}, MATCH(CONCATENATE(E1144, ".", F1144),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44" s="56"/>
    </row>
    <row r="1145" spans="1:43" x14ac:dyDescent="0.25">
      <c r="A1145" s="56" t="s">
        <v>27</v>
      </c>
      <c r="B1145" s="56" t="s">
        <v>58</v>
      </c>
      <c r="C1145" s="56" t="s">
        <v>29</v>
      </c>
      <c r="D1145" s="56" t="s">
        <v>59</v>
      </c>
      <c r="E1145" s="56" t="s">
        <v>120</v>
      </c>
      <c r="F1145" s="56" t="s">
        <v>21</v>
      </c>
      <c r="G1145" s="56" t="s">
        <v>121</v>
      </c>
      <c r="H1145" s="56" t="s">
        <v>322</v>
      </c>
      <c r="I1145" s="56" t="s">
        <v>107</v>
      </c>
      <c r="J1145" s="56" t="s">
        <v>108</v>
      </c>
      <c r="K1145" s="56" t="s">
        <v>109</v>
      </c>
      <c r="L1145" s="56">
        <v>2953044</v>
      </c>
      <c r="M1145" s="56" t="s">
        <v>1304</v>
      </c>
      <c r="N1145" s="57">
        <f t="shared" si="427"/>
        <v>44956</v>
      </c>
      <c r="O1145" s="57">
        <f>DATE(2027,12,29)</f>
        <v>46750</v>
      </c>
      <c r="P1145" s="57">
        <f t="shared" si="402"/>
        <v>47845</v>
      </c>
      <c r="Q1145" s="56">
        <v>3788</v>
      </c>
      <c r="R1145" s="56">
        <v>3600</v>
      </c>
      <c r="S1145" s="56">
        <f t="shared" si="403"/>
        <v>3600</v>
      </c>
      <c r="T1145" s="56">
        <v>2.5</v>
      </c>
      <c r="U1145" s="56" t="str">
        <f t="shared" si="404"/>
        <v>SIM</v>
      </c>
      <c r="V1145" s="56">
        <f t="shared" si="405"/>
        <v>1795</v>
      </c>
      <c r="W1145" s="58">
        <f t="shared" si="406"/>
        <v>2.0055710306406684</v>
      </c>
      <c r="X1145" s="58">
        <f t="shared" si="407"/>
        <v>732.03342618384397</v>
      </c>
      <c r="Y1145" s="58">
        <f t="shared" si="408"/>
        <v>0.91504178272980496</v>
      </c>
      <c r="Z1145" s="58"/>
      <c r="AA1145" s="58"/>
      <c r="AB1145" s="57">
        <f t="shared" si="409"/>
        <v>45292</v>
      </c>
      <c r="AC1145" s="57">
        <f t="shared" si="410"/>
        <v>45657</v>
      </c>
      <c r="AD1145" s="56">
        <v>38</v>
      </c>
      <c r="AE1145" s="56">
        <f t="shared" si="411"/>
        <v>366</v>
      </c>
      <c r="AF1145" s="56">
        <f t="shared" si="412"/>
        <v>0</v>
      </c>
      <c r="AG1145" s="56">
        <f t="shared" si="413"/>
        <v>0</v>
      </c>
      <c r="AH1145" s="56">
        <f t="shared" si="414"/>
        <v>0</v>
      </c>
      <c r="AI1145" s="56">
        <f t="shared" si="415"/>
        <v>0</v>
      </c>
      <c r="AJ1145" s="59">
        <f t="shared" si="416"/>
        <v>1</v>
      </c>
      <c r="AK1145" s="59">
        <f t="shared" si="417"/>
        <v>0.91504178272980496</v>
      </c>
      <c r="AL1145" s="59">
        <f t="shared" si="418"/>
        <v>34.771587743732589</v>
      </c>
      <c r="AM1145" s="59">
        <f t="shared" si="419"/>
        <v>86.928969359331475</v>
      </c>
      <c r="AN1145" s="59">
        <f t="shared" si="420"/>
        <v>43.464484679665738</v>
      </c>
      <c r="AO1145" s="59">
        <f t="shared" si="421"/>
        <v>130.39345403899722</v>
      </c>
      <c r="AP1145" s="56" t="str">
        <f>INDEX({"EAD";"EAD";"EAD";"EAD MOOC";"EAD";"EAD";"EAD FP";"EAD";"PRESENCIAL";"PRESENCIAL";"PRESENCIAL";"PRESENCIAL"}, MATCH(CONCATENATE(E1145, ".", F1145),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45" s="56"/>
    </row>
    <row r="1146" spans="1:43" x14ac:dyDescent="0.25">
      <c r="A1146" s="56" t="s">
        <v>27</v>
      </c>
      <c r="B1146" s="56" t="s">
        <v>58</v>
      </c>
      <c r="C1146" s="56" t="s">
        <v>29</v>
      </c>
      <c r="D1146" s="56" t="s">
        <v>59</v>
      </c>
      <c r="E1146" s="56" t="s">
        <v>120</v>
      </c>
      <c r="F1146" s="56" t="s">
        <v>21</v>
      </c>
      <c r="G1146" s="56" t="s">
        <v>140</v>
      </c>
      <c r="H1146" s="56" t="s">
        <v>1146</v>
      </c>
      <c r="I1146" s="56" t="s">
        <v>209</v>
      </c>
      <c r="J1146" s="56" t="s">
        <v>125</v>
      </c>
      <c r="K1146" s="56" t="s">
        <v>109</v>
      </c>
      <c r="L1146" s="56">
        <v>2953049</v>
      </c>
      <c r="M1146" s="56" t="s">
        <v>1305</v>
      </c>
      <c r="N1146" s="57">
        <f t="shared" si="427"/>
        <v>44956</v>
      </c>
      <c r="O1146" s="57">
        <f>DATE(2025,12,29)</f>
        <v>46020</v>
      </c>
      <c r="P1146" s="57">
        <f t="shared" si="402"/>
        <v>47115</v>
      </c>
      <c r="Q1146" s="56">
        <v>2210</v>
      </c>
      <c r="R1146" s="56">
        <v>2000</v>
      </c>
      <c r="S1146" s="56">
        <f t="shared" si="403"/>
        <v>2000</v>
      </c>
      <c r="T1146" s="56">
        <v>1.5</v>
      </c>
      <c r="U1146" s="56" t="str">
        <f t="shared" si="404"/>
        <v>SIM</v>
      </c>
      <c r="V1146" s="56">
        <f t="shared" si="405"/>
        <v>1065</v>
      </c>
      <c r="W1146" s="58">
        <f t="shared" si="406"/>
        <v>1.8779342723004695</v>
      </c>
      <c r="X1146" s="58">
        <f t="shared" si="407"/>
        <v>685.44600938967142</v>
      </c>
      <c r="Y1146" s="58">
        <f t="shared" si="408"/>
        <v>0.85680751173708924</v>
      </c>
      <c r="Z1146" s="58"/>
      <c r="AA1146" s="58"/>
      <c r="AB1146" s="57">
        <f t="shared" si="409"/>
        <v>45292</v>
      </c>
      <c r="AC1146" s="57">
        <f t="shared" si="410"/>
        <v>45657</v>
      </c>
      <c r="AD1146" s="56">
        <v>22</v>
      </c>
      <c r="AE1146" s="56">
        <f t="shared" si="411"/>
        <v>366</v>
      </c>
      <c r="AF1146" s="56">
        <f t="shared" si="412"/>
        <v>0</v>
      </c>
      <c r="AG1146" s="56">
        <f t="shared" si="413"/>
        <v>0</v>
      </c>
      <c r="AH1146" s="56">
        <f t="shared" si="414"/>
        <v>0</v>
      </c>
      <c r="AI1146" s="56">
        <f t="shared" si="415"/>
        <v>0</v>
      </c>
      <c r="AJ1146" s="59">
        <f t="shared" si="416"/>
        <v>1</v>
      </c>
      <c r="AK1146" s="59">
        <f t="shared" si="417"/>
        <v>0.85680751173708924</v>
      </c>
      <c r="AL1146" s="59">
        <f t="shared" si="418"/>
        <v>18.849765258215964</v>
      </c>
      <c r="AM1146" s="59">
        <f t="shared" si="419"/>
        <v>28.274647887323944</v>
      </c>
      <c r="AN1146" s="59">
        <f t="shared" si="420"/>
        <v>0</v>
      </c>
      <c r="AO1146" s="59">
        <f t="shared" si="421"/>
        <v>28.274647887323944</v>
      </c>
      <c r="AP1146" s="56" t="str">
        <f>INDEX({"EAD";"EAD";"EAD";"EAD MOOC";"EAD";"EAD";"EAD FP";"EAD";"PRESENCIAL";"PRESENCIAL";"PRESENCIAL";"PRESENCIAL"}, MATCH(CONCATENATE(E1146, ".", F1146),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46" s="56"/>
    </row>
    <row r="1147" spans="1:43" x14ac:dyDescent="0.25">
      <c r="A1147" s="1" t="s">
        <v>27</v>
      </c>
      <c r="B1147" s="1" t="s">
        <v>58</v>
      </c>
      <c r="C1147" s="1" t="s">
        <v>29</v>
      </c>
      <c r="D1147" s="1" t="s">
        <v>59</v>
      </c>
      <c r="E1147" s="1" t="s">
        <v>120</v>
      </c>
      <c r="F1147" s="1" t="s">
        <v>21</v>
      </c>
      <c r="G1147" s="1" t="s">
        <v>128</v>
      </c>
      <c r="H1147" s="1" t="s">
        <v>1297</v>
      </c>
      <c r="I1147" s="1" t="s">
        <v>172</v>
      </c>
      <c r="J1147" s="1" t="s">
        <v>125</v>
      </c>
      <c r="K1147" s="1" t="s">
        <v>163</v>
      </c>
      <c r="L1147" s="1">
        <v>2953177</v>
      </c>
      <c r="M1147" s="1" t="s">
        <v>1306</v>
      </c>
      <c r="N1147" s="5">
        <f>DATE(2023,2,3)</f>
        <v>44960</v>
      </c>
      <c r="O1147" s="5">
        <f>DATE(2024,6,30)</f>
        <v>45473</v>
      </c>
      <c r="P1147" s="5">
        <f t="shared" si="402"/>
        <v>46568</v>
      </c>
      <c r="Q1147" s="1">
        <v>816</v>
      </c>
      <c r="R1147" s="1">
        <v>800</v>
      </c>
      <c r="S1147" s="1">
        <f t="shared" si="403"/>
        <v>800</v>
      </c>
      <c r="T1147" s="1">
        <v>2.5</v>
      </c>
      <c r="U1147" s="1" t="str">
        <f t="shared" si="404"/>
        <v>SIM</v>
      </c>
      <c r="V1147" s="1">
        <f t="shared" si="405"/>
        <v>514</v>
      </c>
      <c r="W1147" s="4">
        <f t="shared" si="406"/>
        <v>1.556420233463035</v>
      </c>
      <c r="X1147" s="4">
        <f t="shared" si="407"/>
        <v>568.09338521400775</v>
      </c>
      <c r="Y1147" s="4">
        <f t="shared" si="408"/>
        <v>0.71011673151750965</v>
      </c>
      <c r="AB1147" s="5">
        <f t="shared" si="409"/>
        <v>45292</v>
      </c>
      <c r="AC1147" s="5">
        <f t="shared" si="410"/>
        <v>45657</v>
      </c>
      <c r="AD1147" s="1">
        <v>32</v>
      </c>
      <c r="AE1147" s="1">
        <f t="shared" si="411"/>
        <v>0</v>
      </c>
      <c r="AF1147" s="1">
        <f t="shared" si="412"/>
        <v>0</v>
      </c>
      <c r="AG1147" s="1">
        <f t="shared" si="413"/>
        <v>182</v>
      </c>
      <c r="AH1147" s="1">
        <f t="shared" si="414"/>
        <v>0</v>
      </c>
      <c r="AI1147" s="1">
        <f t="shared" si="415"/>
        <v>0</v>
      </c>
      <c r="AJ1147" s="3">
        <f t="shared" si="416"/>
        <v>0.49726775956284153</v>
      </c>
      <c r="AK1147" s="3">
        <f t="shared" si="417"/>
        <v>0.35311815610979985</v>
      </c>
      <c r="AL1147" s="3">
        <f t="shared" si="418"/>
        <v>11.299780995513595</v>
      </c>
      <c r="AM1147" s="3">
        <f t="shared" si="419"/>
        <v>28.249452488783987</v>
      </c>
      <c r="AN1147" s="3">
        <f t="shared" si="420"/>
        <v>0</v>
      </c>
      <c r="AO1147" s="3">
        <f t="shared" si="421"/>
        <v>28.249452488783987</v>
      </c>
      <c r="AP1147" s="1" t="str">
        <f>INDEX({"EAD";"EAD";"EAD";"EAD MOOC";"EAD";"EAD";"EAD FP";"EAD";"PRESENCIAL";"PRESENCIAL";"PRESENCIAL";"PRESENCIAL"}, MATCH(CONCATENATE(E1147, ".", F1147),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48" spans="1:43" x14ac:dyDescent="0.25">
      <c r="A1148" s="56" t="s">
        <v>27</v>
      </c>
      <c r="B1148" s="56" t="s">
        <v>58</v>
      </c>
      <c r="C1148" s="56" t="s">
        <v>29</v>
      </c>
      <c r="D1148" s="56" t="s">
        <v>59</v>
      </c>
      <c r="E1148" s="56" t="s">
        <v>120</v>
      </c>
      <c r="F1148" s="56" t="s">
        <v>21</v>
      </c>
      <c r="G1148" s="56" t="s">
        <v>128</v>
      </c>
      <c r="H1148" s="56" t="s">
        <v>208</v>
      </c>
      <c r="I1148" s="56" t="s">
        <v>209</v>
      </c>
      <c r="J1148" s="56" t="s">
        <v>125</v>
      </c>
      <c r="K1148" s="56" t="s">
        <v>130</v>
      </c>
      <c r="L1148" s="56">
        <v>2965848</v>
      </c>
      <c r="M1148" s="56" t="s">
        <v>1307</v>
      </c>
      <c r="N1148" s="57">
        <f>DATE(2023,2,8)</f>
        <v>44965</v>
      </c>
      <c r="O1148" s="57">
        <f>DATE(2025,12,26)</f>
        <v>46017</v>
      </c>
      <c r="P1148" s="57">
        <f t="shared" si="402"/>
        <v>47112</v>
      </c>
      <c r="Q1148" s="56">
        <v>3150</v>
      </c>
      <c r="R1148" s="56">
        <v>1200</v>
      </c>
      <c r="S1148" s="56">
        <f t="shared" si="403"/>
        <v>3200</v>
      </c>
      <c r="T1148" s="56">
        <v>1.5</v>
      </c>
      <c r="U1148" s="56" t="str">
        <f t="shared" si="404"/>
        <v>SIM</v>
      </c>
      <c r="V1148" s="56">
        <f t="shared" si="405"/>
        <v>1053</v>
      </c>
      <c r="W1148" s="58">
        <f t="shared" si="406"/>
        <v>2.9914529914529915</v>
      </c>
      <c r="X1148" s="58">
        <f t="shared" si="407"/>
        <v>1091.8803418803418</v>
      </c>
      <c r="Y1148" s="58">
        <f t="shared" si="408"/>
        <v>1.3648504273504272</v>
      </c>
      <c r="Z1148" s="58"/>
      <c r="AA1148" s="58"/>
      <c r="AB1148" s="57">
        <f t="shared" si="409"/>
        <v>45292</v>
      </c>
      <c r="AC1148" s="57">
        <f t="shared" si="410"/>
        <v>45657</v>
      </c>
      <c r="AD1148" s="56">
        <v>34</v>
      </c>
      <c r="AE1148" s="56">
        <f t="shared" si="411"/>
        <v>366</v>
      </c>
      <c r="AF1148" s="56">
        <f t="shared" si="412"/>
        <v>0</v>
      </c>
      <c r="AG1148" s="56">
        <f t="shared" si="413"/>
        <v>0</v>
      </c>
      <c r="AH1148" s="56">
        <f t="shared" si="414"/>
        <v>0</v>
      </c>
      <c r="AI1148" s="56">
        <f t="shared" si="415"/>
        <v>0</v>
      </c>
      <c r="AJ1148" s="59">
        <f t="shared" si="416"/>
        <v>1</v>
      </c>
      <c r="AK1148" s="59">
        <f t="shared" si="417"/>
        <v>1.3648504273504272</v>
      </c>
      <c r="AL1148" s="59">
        <f t="shared" si="418"/>
        <v>46.404914529914521</v>
      </c>
      <c r="AM1148" s="59">
        <f t="shared" si="419"/>
        <v>69.607371794871781</v>
      </c>
      <c r="AN1148" s="59">
        <f t="shared" si="420"/>
        <v>0</v>
      </c>
      <c r="AO1148" s="59">
        <f t="shared" si="421"/>
        <v>69.607371794871781</v>
      </c>
      <c r="AP1148" s="56" t="str">
        <f>INDEX({"EAD";"EAD";"EAD";"EAD MOOC";"EAD";"EAD";"EAD FP";"EAD";"PRESENCIAL";"PRESENCIAL";"PRESENCIAL";"PRESENCIAL"}, MATCH(CONCATENATE(E1148, ".", F1148),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48" s="56"/>
    </row>
    <row r="1149" spans="1:43" x14ac:dyDescent="0.25">
      <c r="A1149" s="1" t="s">
        <v>27</v>
      </c>
      <c r="B1149" s="1" t="s">
        <v>58</v>
      </c>
      <c r="C1149" s="1" t="s">
        <v>29</v>
      </c>
      <c r="D1149" s="1" t="s">
        <v>59</v>
      </c>
      <c r="E1149" s="1" t="s">
        <v>170</v>
      </c>
      <c r="F1149" s="1" t="s">
        <v>447</v>
      </c>
      <c r="G1149" s="1" t="s">
        <v>128</v>
      </c>
      <c r="H1149" s="1" t="s">
        <v>171</v>
      </c>
      <c r="I1149" s="1" t="s">
        <v>172</v>
      </c>
      <c r="J1149" s="1" t="s">
        <v>125</v>
      </c>
      <c r="K1149" s="1" t="s">
        <v>163</v>
      </c>
      <c r="L1149" s="1">
        <v>2976350</v>
      </c>
      <c r="M1149" s="1" t="s">
        <v>1125</v>
      </c>
      <c r="N1149" s="5">
        <f>DATE(2023,4,1)</f>
        <v>45017</v>
      </c>
      <c r="O1149" s="5">
        <f>DATE(2024,10,31)</f>
        <v>45596</v>
      </c>
      <c r="P1149" s="5">
        <f t="shared" si="402"/>
        <v>46691</v>
      </c>
      <c r="Q1149" s="1">
        <v>1200</v>
      </c>
      <c r="R1149" s="1">
        <v>1200</v>
      </c>
      <c r="S1149" s="1">
        <f t="shared" si="403"/>
        <v>1200</v>
      </c>
      <c r="T1149" s="1">
        <v>2</v>
      </c>
      <c r="U1149" s="1" t="str">
        <f t="shared" si="404"/>
        <v>SIM</v>
      </c>
      <c r="V1149" s="1">
        <f t="shared" si="405"/>
        <v>580</v>
      </c>
      <c r="W1149" s="4">
        <f t="shared" si="406"/>
        <v>2.0689655172413794</v>
      </c>
      <c r="X1149" s="4">
        <f t="shared" si="407"/>
        <v>755.17241379310349</v>
      </c>
      <c r="Y1149" s="4">
        <f t="shared" si="408"/>
        <v>0.94396551724137934</v>
      </c>
      <c r="AB1149" s="5">
        <f t="shared" si="409"/>
        <v>45292</v>
      </c>
      <c r="AC1149" s="5">
        <f t="shared" si="410"/>
        <v>45657</v>
      </c>
      <c r="AD1149" s="1">
        <v>11</v>
      </c>
      <c r="AE1149" s="1">
        <f t="shared" si="411"/>
        <v>0</v>
      </c>
      <c r="AF1149" s="1">
        <f t="shared" si="412"/>
        <v>0</v>
      </c>
      <c r="AG1149" s="1">
        <f t="shared" si="413"/>
        <v>305</v>
      </c>
      <c r="AH1149" s="1">
        <f t="shared" si="414"/>
        <v>0</v>
      </c>
      <c r="AI1149" s="1">
        <f t="shared" si="415"/>
        <v>0</v>
      </c>
      <c r="AJ1149" s="3">
        <f t="shared" si="416"/>
        <v>0.83333333333333337</v>
      </c>
      <c r="AK1149" s="3">
        <f t="shared" si="417"/>
        <v>0.78663793103448276</v>
      </c>
      <c r="AL1149" s="3">
        <f t="shared" si="418"/>
        <v>8.6530172413793096</v>
      </c>
      <c r="AM1149" s="3">
        <f t="shared" si="419"/>
        <v>17.306034482758619</v>
      </c>
      <c r="AN1149" s="3">
        <f t="shared" si="420"/>
        <v>0</v>
      </c>
      <c r="AO1149" s="3">
        <f t="shared" si="421"/>
        <v>17.306034482758619</v>
      </c>
      <c r="AP1149" s="1" t="str">
        <f>INDEX({"EAD";"EAD";"EAD";"EAD MOOC";"EAD";"EAD";"EAD FP";"EAD";"PRESENCIAL";"PRESENCIAL";"PRESENCIAL";"PRESENCIAL"}, MATCH(CONCATENATE(E1149, ".", F1149),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1150" spans="1:43" x14ac:dyDescent="0.25">
      <c r="A1150" s="1" t="s">
        <v>27</v>
      </c>
      <c r="B1150" s="1" t="s">
        <v>58</v>
      </c>
      <c r="C1150" s="1" t="s">
        <v>29</v>
      </c>
      <c r="D1150" s="1" t="s">
        <v>59</v>
      </c>
      <c r="E1150" s="1" t="s">
        <v>170</v>
      </c>
      <c r="F1150" s="1" t="s">
        <v>447</v>
      </c>
      <c r="G1150" s="1" t="s">
        <v>128</v>
      </c>
      <c r="H1150" s="1" t="s">
        <v>174</v>
      </c>
      <c r="I1150" s="1" t="s">
        <v>172</v>
      </c>
      <c r="J1150" s="1" t="s">
        <v>125</v>
      </c>
      <c r="K1150" s="1" t="s">
        <v>163</v>
      </c>
      <c r="L1150" s="1">
        <v>2976417</v>
      </c>
      <c r="M1150" s="1" t="s">
        <v>1124</v>
      </c>
      <c r="N1150" s="5">
        <f>DATE(2023,4,1)</f>
        <v>45017</v>
      </c>
      <c r="O1150" s="5">
        <f>DATE(2024,10,31)</f>
        <v>45596</v>
      </c>
      <c r="P1150" s="5">
        <f t="shared" si="402"/>
        <v>46691</v>
      </c>
      <c r="Q1150" s="1">
        <v>1200</v>
      </c>
      <c r="R1150" s="1">
        <v>1200</v>
      </c>
      <c r="S1150" s="1">
        <f t="shared" si="403"/>
        <v>1200</v>
      </c>
      <c r="T1150" s="1">
        <v>1</v>
      </c>
      <c r="U1150" s="1" t="str">
        <f t="shared" si="404"/>
        <v>SIM</v>
      </c>
      <c r="V1150" s="1">
        <f t="shared" si="405"/>
        <v>580</v>
      </c>
      <c r="W1150" s="4">
        <f t="shared" si="406"/>
        <v>2.0689655172413794</v>
      </c>
      <c r="X1150" s="4">
        <f t="shared" si="407"/>
        <v>755.17241379310349</v>
      </c>
      <c r="Y1150" s="4">
        <f t="shared" si="408"/>
        <v>0.94396551724137934</v>
      </c>
      <c r="AB1150" s="5">
        <f t="shared" si="409"/>
        <v>45292</v>
      </c>
      <c r="AC1150" s="5">
        <f t="shared" si="410"/>
        <v>45657</v>
      </c>
      <c r="AD1150" s="1">
        <v>21</v>
      </c>
      <c r="AE1150" s="1">
        <f t="shared" si="411"/>
        <v>0</v>
      </c>
      <c r="AF1150" s="1">
        <f t="shared" si="412"/>
        <v>0</v>
      </c>
      <c r="AG1150" s="1">
        <f t="shared" si="413"/>
        <v>305</v>
      </c>
      <c r="AH1150" s="1">
        <f t="shared" si="414"/>
        <v>0</v>
      </c>
      <c r="AI1150" s="1">
        <f t="shared" si="415"/>
        <v>0</v>
      </c>
      <c r="AJ1150" s="3">
        <f t="shared" si="416"/>
        <v>0.83333333333333337</v>
      </c>
      <c r="AK1150" s="3">
        <f t="shared" si="417"/>
        <v>0.78663793103448276</v>
      </c>
      <c r="AL1150" s="3">
        <f t="shared" si="418"/>
        <v>16.519396551724139</v>
      </c>
      <c r="AM1150" s="3">
        <f t="shared" si="419"/>
        <v>16.519396551724139</v>
      </c>
      <c r="AN1150" s="3">
        <f t="shared" si="420"/>
        <v>0</v>
      </c>
      <c r="AO1150" s="3">
        <f t="shared" si="421"/>
        <v>16.519396551724139</v>
      </c>
      <c r="AP1150" s="1" t="str">
        <f>INDEX({"EAD";"EAD";"EAD";"EAD MOOC";"EAD";"EAD";"EAD FP";"EAD";"PRESENCIAL";"PRESENCIAL";"PRESENCIAL";"PRESENCIAL"}, MATCH(CONCATENATE(E1150, ".", F1150),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1151" spans="1:43" x14ac:dyDescent="0.25">
      <c r="A1151" s="1" t="s">
        <v>27</v>
      </c>
      <c r="B1151" s="1" t="s">
        <v>58</v>
      </c>
      <c r="C1151" s="1" t="s">
        <v>29</v>
      </c>
      <c r="D1151" s="1" t="s">
        <v>59</v>
      </c>
      <c r="E1151" s="1" t="s">
        <v>170</v>
      </c>
      <c r="F1151" s="1" t="s">
        <v>447</v>
      </c>
      <c r="G1151" s="1" t="s">
        <v>128</v>
      </c>
      <c r="H1151" s="1" t="s">
        <v>176</v>
      </c>
      <c r="I1151" s="1" t="s">
        <v>172</v>
      </c>
      <c r="J1151" s="1" t="s">
        <v>125</v>
      </c>
      <c r="K1151" s="1" t="s">
        <v>163</v>
      </c>
      <c r="L1151" s="1">
        <v>2976467</v>
      </c>
      <c r="M1151" s="1" t="s">
        <v>1126</v>
      </c>
      <c r="N1151" s="5">
        <f>DATE(2023,4,1)</f>
        <v>45017</v>
      </c>
      <c r="O1151" s="5">
        <f>DATE(2024,10,31)</f>
        <v>45596</v>
      </c>
      <c r="P1151" s="5">
        <f t="shared" si="402"/>
        <v>46691</v>
      </c>
      <c r="Q1151" s="1">
        <v>1200</v>
      </c>
      <c r="R1151" s="1">
        <v>800</v>
      </c>
      <c r="S1151" s="1">
        <f t="shared" si="403"/>
        <v>800</v>
      </c>
      <c r="T1151" s="1">
        <v>1.5</v>
      </c>
      <c r="U1151" s="1" t="str">
        <f t="shared" si="404"/>
        <v>SIM</v>
      </c>
      <c r="V1151" s="1">
        <f t="shared" si="405"/>
        <v>580</v>
      </c>
      <c r="W1151" s="4">
        <f t="shared" si="406"/>
        <v>1.3793103448275863</v>
      </c>
      <c r="X1151" s="4">
        <f t="shared" si="407"/>
        <v>503.44827586206901</v>
      </c>
      <c r="Y1151" s="4">
        <f t="shared" si="408"/>
        <v>0.6293103448275863</v>
      </c>
      <c r="AB1151" s="5">
        <f t="shared" si="409"/>
        <v>45292</v>
      </c>
      <c r="AC1151" s="5">
        <f t="shared" si="410"/>
        <v>45657</v>
      </c>
      <c r="AD1151" s="1">
        <v>10</v>
      </c>
      <c r="AE1151" s="1">
        <f t="shared" si="411"/>
        <v>0</v>
      </c>
      <c r="AF1151" s="1">
        <f t="shared" si="412"/>
        <v>0</v>
      </c>
      <c r="AG1151" s="1">
        <f t="shared" si="413"/>
        <v>305</v>
      </c>
      <c r="AH1151" s="1">
        <f t="shared" si="414"/>
        <v>0</v>
      </c>
      <c r="AI1151" s="1">
        <f t="shared" si="415"/>
        <v>0</v>
      </c>
      <c r="AJ1151" s="3">
        <f t="shared" si="416"/>
        <v>0.83333333333333337</v>
      </c>
      <c r="AK1151" s="3">
        <f t="shared" si="417"/>
        <v>0.52442528735632199</v>
      </c>
      <c r="AL1151" s="3">
        <f t="shared" si="418"/>
        <v>5.2442528735632195</v>
      </c>
      <c r="AM1151" s="3">
        <f t="shared" si="419"/>
        <v>7.8663793103448292</v>
      </c>
      <c r="AN1151" s="3">
        <f t="shared" si="420"/>
        <v>0</v>
      </c>
      <c r="AO1151" s="3">
        <f t="shared" si="421"/>
        <v>7.8663793103448292</v>
      </c>
      <c r="AP1151" s="1" t="str">
        <f>INDEX({"EAD";"EAD";"EAD";"EAD MOOC";"EAD";"EAD";"EAD FP";"EAD";"PRESENCIAL";"PRESENCIAL";"PRESENCIAL";"PRESENCIAL"}, MATCH(CONCATENATE(E1151, ".", F1151),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1152" spans="1:43" x14ac:dyDescent="0.25">
      <c r="A1152" s="56" t="s">
        <v>27</v>
      </c>
      <c r="B1152" s="56" t="s">
        <v>58</v>
      </c>
      <c r="C1152" s="56" t="s">
        <v>29</v>
      </c>
      <c r="D1152" s="56" t="s">
        <v>59</v>
      </c>
      <c r="E1152" s="56" t="s">
        <v>120</v>
      </c>
      <c r="F1152" s="56" t="s">
        <v>447</v>
      </c>
      <c r="G1152" s="56" t="s">
        <v>128</v>
      </c>
      <c r="H1152" s="56" t="s">
        <v>132</v>
      </c>
      <c r="I1152" s="56" t="s">
        <v>107</v>
      </c>
      <c r="J1152" s="56" t="s">
        <v>108</v>
      </c>
      <c r="K1152" s="56" t="s">
        <v>259</v>
      </c>
      <c r="L1152" s="56">
        <v>3132571</v>
      </c>
      <c r="M1152" s="56" t="s">
        <v>1308</v>
      </c>
      <c r="N1152" s="57">
        <f>DATE(2023,7,27)</f>
        <v>45134</v>
      </c>
      <c r="O1152" s="57">
        <f>DATE(2025,12,31)</f>
        <v>46022</v>
      </c>
      <c r="P1152" s="57">
        <f t="shared" si="402"/>
        <v>47117</v>
      </c>
      <c r="Q1152" s="56">
        <v>1200</v>
      </c>
      <c r="R1152" s="56">
        <v>1200</v>
      </c>
      <c r="S1152" s="56">
        <f t="shared" si="403"/>
        <v>1200</v>
      </c>
      <c r="T1152" s="56">
        <v>2.5</v>
      </c>
      <c r="U1152" s="56" t="str">
        <f t="shared" si="404"/>
        <v>SIM</v>
      </c>
      <c r="V1152" s="56">
        <f t="shared" si="405"/>
        <v>889</v>
      </c>
      <c r="W1152" s="58">
        <f t="shared" si="406"/>
        <v>1.3498312710911136</v>
      </c>
      <c r="X1152" s="58">
        <f t="shared" si="407"/>
        <v>492.68841394825643</v>
      </c>
      <c r="Y1152" s="58">
        <f t="shared" si="408"/>
        <v>0.61586051743532055</v>
      </c>
      <c r="Z1152" s="58"/>
      <c r="AA1152" s="58"/>
      <c r="AB1152" s="57">
        <f t="shared" si="409"/>
        <v>45292</v>
      </c>
      <c r="AC1152" s="57">
        <f t="shared" si="410"/>
        <v>45657</v>
      </c>
      <c r="AD1152" s="56">
        <v>60</v>
      </c>
      <c r="AE1152" s="56">
        <f t="shared" si="411"/>
        <v>366</v>
      </c>
      <c r="AF1152" s="56">
        <f t="shared" si="412"/>
        <v>0</v>
      </c>
      <c r="AG1152" s="56">
        <f t="shared" si="413"/>
        <v>0</v>
      </c>
      <c r="AH1152" s="56">
        <f t="shared" si="414"/>
        <v>0</v>
      </c>
      <c r="AI1152" s="56">
        <f t="shared" si="415"/>
        <v>0</v>
      </c>
      <c r="AJ1152" s="59">
        <f t="shared" si="416"/>
        <v>1</v>
      </c>
      <c r="AK1152" s="59">
        <f t="shared" si="417"/>
        <v>0.61586051743532055</v>
      </c>
      <c r="AL1152" s="59">
        <f t="shared" si="418"/>
        <v>36.951631046119232</v>
      </c>
      <c r="AM1152" s="59">
        <f t="shared" si="419"/>
        <v>92.379077615298087</v>
      </c>
      <c r="AN1152" s="59">
        <f t="shared" si="420"/>
        <v>46.189538807649043</v>
      </c>
      <c r="AO1152" s="59">
        <f t="shared" si="421"/>
        <v>138.56861642294712</v>
      </c>
      <c r="AP1152" s="56" t="str">
        <f>INDEX({"EAD";"EAD";"EAD";"EAD MOOC";"EAD";"EAD";"EAD FP";"EAD";"PRESENCIAL";"PRESENCIAL";"PRESENCIAL";"PRESENCIAL"}, MATCH(CONCATENATE(E1152, ".", F1152),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52" s="56"/>
    </row>
    <row r="1153" spans="1:43" x14ac:dyDescent="0.25">
      <c r="A1153" s="1" t="s">
        <v>27</v>
      </c>
      <c r="B1153" s="1" t="s">
        <v>58</v>
      </c>
      <c r="C1153" s="1" t="s">
        <v>29</v>
      </c>
      <c r="D1153" s="1" t="s">
        <v>59</v>
      </c>
      <c r="E1153" s="1" t="s">
        <v>120</v>
      </c>
      <c r="F1153" s="1" t="s">
        <v>447</v>
      </c>
      <c r="G1153" s="1" t="s">
        <v>128</v>
      </c>
      <c r="H1153" s="1" t="s">
        <v>1297</v>
      </c>
      <c r="I1153" s="1" t="s">
        <v>172</v>
      </c>
      <c r="J1153" s="1" t="s">
        <v>125</v>
      </c>
      <c r="K1153" s="1" t="s">
        <v>259</v>
      </c>
      <c r="L1153" s="1">
        <v>3065427</v>
      </c>
      <c r="M1153" s="1" t="s">
        <v>1309</v>
      </c>
      <c r="N1153" s="5">
        <f>DATE(2023,12,1)</f>
        <v>45261</v>
      </c>
      <c r="O1153" s="5">
        <f>DATE(2025,12,31)</f>
        <v>46022</v>
      </c>
      <c r="P1153" s="5">
        <f t="shared" si="402"/>
        <v>47117</v>
      </c>
      <c r="Q1153" s="1">
        <v>1080</v>
      </c>
      <c r="R1153" s="1">
        <v>800</v>
      </c>
      <c r="S1153" s="1">
        <f t="shared" si="403"/>
        <v>800</v>
      </c>
      <c r="T1153" s="1">
        <v>2.5</v>
      </c>
      <c r="U1153" s="1" t="str">
        <f t="shared" si="404"/>
        <v>SIM</v>
      </c>
      <c r="V1153" s="1">
        <f t="shared" si="405"/>
        <v>762</v>
      </c>
      <c r="W1153" s="4">
        <f t="shared" si="406"/>
        <v>1.0498687664041995</v>
      </c>
      <c r="X1153" s="4">
        <f t="shared" si="407"/>
        <v>383.20209973753282</v>
      </c>
      <c r="Y1153" s="4">
        <f t="shared" si="408"/>
        <v>0.47900262467191601</v>
      </c>
      <c r="AB1153" s="5">
        <f t="shared" si="409"/>
        <v>45292</v>
      </c>
      <c r="AC1153" s="5">
        <f t="shared" si="410"/>
        <v>45657</v>
      </c>
      <c r="AD1153" s="1">
        <v>14</v>
      </c>
      <c r="AE1153" s="1">
        <f t="shared" si="411"/>
        <v>366</v>
      </c>
      <c r="AF1153" s="1">
        <f t="shared" si="412"/>
        <v>0</v>
      </c>
      <c r="AG1153" s="1">
        <f t="shared" si="413"/>
        <v>0</v>
      </c>
      <c r="AH1153" s="1">
        <f t="shared" si="414"/>
        <v>0</v>
      </c>
      <c r="AI1153" s="1">
        <f t="shared" si="415"/>
        <v>0</v>
      </c>
      <c r="AJ1153" s="3">
        <f t="shared" si="416"/>
        <v>1</v>
      </c>
      <c r="AK1153" s="3">
        <f t="shared" si="417"/>
        <v>0.47900262467191601</v>
      </c>
      <c r="AL1153" s="3">
        <f t="shared" si="418"/>
        <v>6.7060367454068244</v>
      </c>
      <c r="AM1153" s="3">
        <f t="shared" si="419"/>
        <v>16.76509186351706</v>
      </c>
      <c r="AN1153" s="3">
        <f t="shared" si="420"/>
        <v>0</v>
      </c>
      <c r="AO1153" s="3">
        <f t="shared" si="421"/>
        <v>16.76509186351706</v>
      </c>
      <c r="AP1153" s="1" t="str">
        <f>INDEX({"EAD";"EAD";"EAD";"EAD MOOC";"EAD";"EAD";"EAD FP";"EAD";"PRESENCIAL";"PRESENCIAL";"PRESENCIAL";"PRESENCIAL"}, MATCH(CONCATENATE(E1153, ".", F1153),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54" spans="1:43" x14ac:dyDescent="0.25">
      <c r="A1154" s="1" t="s">
        <v>27</v>
      </c>
      <c r="B1154" s="1" t="s">
        <v>58</v>
      </c>
      <c r="C1154" s="1" t="s">
        <v>29</v>
      </c>
      <c r="D1154" s="1" t="s">
        <v>59</v>
      </c>
      <c r="E1154" s="1" t="s">
        <v>120</v>
      </c>
      <c r="F1154" s="1" t="s">
        <v>447</v>
      </c>
      <c r="G1154" s="1" t="s">
        <v>128</v>
      </c>
      <c r="H1154" s="1" t="s">
        <v>907</v>
      </c>
      <c r="I1154" s="1" t="s">
        <v>224</v>
      </c>
      <c r="J1154" s="1" t="s">
        <v>125</v>
      </c>
      <c r="K1154" s="1" t="s">
        <v>259</v>
      </c>
      <c r="L1154" s="1">
        <v>3065426</v>
      </c>
      <c r="M1154" s="1" t="s">
        <v>1310</v>
      </c>
      <c r="N1154" s="5">
        <f>DATE(2023,12,31)</f>
        <v>45291</v>
      </c>
      <c r="O1154" s="5">
        <f>DATE(2025,12,31)</f>
        <v>46022</v>
      </c>
      <c r="P1154" s="5">
        <f t="shared" si="402"/>
        <v>47117</v>
      </c>
      <c r="Q1154" s="1">
        <v>1200</v>
      </c>
      <c r="R1154" s="1">
        <v>1200</v>
      </c>
      <c r="S1154" s="1">
        <f t="shared" si="403"/>
        <v>1200</v>
      </c>
      <c r="T1154" s="1">
        <v>1.5</v>
      </c>
      <c r="U1154" s="1" t="str">
        <f t="shared" si="404"/>
        <v>SIM</v>
      </c>
      <c r="V1154" s="1">
        <f t="shared" si="405"/>
        <v>732</v>
      </c>
      <c r="W1154" s="4">
        <f t="shared" si="406"/>
        <v>1.639344262295082</v>
      </c>
      <c r="X1154" s="4">
        <f t="shared" si="407"/>
        <v>598.36065573770497</v>
      </c>
      <c r="Y1154" s="4">
        <f t="shared" si="408"/>
        <v>0.74795081967213117</v>
      </c>
      <c r="AB1154" s="5">
        <f t="shared" si="409"/>
        <v>45292</v>
      </c>
      <c r="AC1154" s="5">
        <f t="shared" si="410"/>
        <v>45657</v>
      </c>
      <c r="AD1154" s="1">
        <v>35</v>
      </c>
      <c r="AE1154" s="1">
        <f t="shared" si="411"/>
        <v>366</v>
      </c>
      <c r="AF1154" s="1">
        <f t="shared" si="412"/>
        <v>0</v>
      </c>
      <c r="AG1154" s="1">
        <f t="shared" si="413"/>
        <v>0</v>
      </c>
      <c r="AH1154" s="1">
        <f t="shared" si="414"/>
        <v>0</v>
      </c>
      <c r="AI1154" s="1">
        <f t="shared" si="415"/>
        <v>0</v>
      </c>
      <c r="AJ1154" s="3">
        <f t="shared" si="416"/>
        <v>1</v>
      </c>
      <c r="AK1154" s="3">
        <f t="shared" si="417"/>
        <v>0.74795081967213117</v>
      </c>
      <c r="AL1154" s="3">
        <f t="shared" si="418"/>
        <v>26.178278688524593</v>
      </c>
      <c r="AM1154" s="3">
        <f t="shared" si="419"/>
        <v>39.267418032786892</v>
      </c>
      <c r="AN1154" s="3">
        <f t="shared" si="420"/>
        <v>0</v>
      </c>
      <c r="AO1154" s="3">
        <f t="shared" si="421"/>
        <v>39.267418032786892</v>
      </c>
      <c r="AP1154" s="1" t="str">
        <f>INDEX({"EAD";"EAD";"EAD";"EAD MOOC";"EAD";"EAD";"EAD FP";"EAD";"PRESENCIAL";"PRESENCIAL";"PRESENCIAL";"PRESENCIAL"}, MATCH(CONCATENATE(E1154, ".", F1154),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55" spans="1:43" x14ac:dyDescent="0.25">
      <c r="A1155" s="56" t="s">
        <v>27</v>
      </c>
      <c r="B1155" s="56" t="s">
        <v>58</v>
      </c>
      <c r="C1155" s="56" t="s">
        <v>29</v>
      </c>
      <c r="D1155" s="56" t="s">
        <v>59</v>
      </c>
      <c r="E1155" s="56" t="s">
        <v>120</v>
      </c>
      <c r="F1155" s="56" t="s">
        <v>21</v>
      </c>
      <c r="G1155" s="56" t="s">
        <v>121</v>
      </c>
      <c r="H1155" s="56" t="s">
        <v>322</v>
      </c>
      <c r="I1155" s="56" t="s">
        <v>107</v>
      </c>
      <c r="J1155" s="56" t="s">
        <v>108</v>
      </c>
      <c r="K1155" s="56" t="s">
        <v>109</v>
      </c>
      <c r="L1155" s="56">
        <v>3075833</v>
      </c>
      <c r="M1155" s="56" t="s">
        <v>395</v>
      </c>
      <c r="N1155" s="57">
        <f t="shared" ref="N1155:N1162" si="428">DATE(2024,2,1)</f>
        <v>45323</v>
      </c>
      <c r="O1155" s="57">
        <f>DATE(2028,12,31)</f>
        <v>47118</v>
      </c>
      <c r="P1155" s="57">
        <f t="shared" si="402"/>
        <v>48213</v>
      </c>
      <c r="Q1155" s="56">
        <v>3780</v>
      </c>
      <c r="R1155" s="56">
        <v>3600</v>
      </c>
      <c r="S1155" s="56">
        <f t="shared" si="403"/>
        <v>3600</v>
      </c>
      <c r="T1155" s="56">
        <v>2.5</v>
      </c>
      <c r="U1155" s="56" t="str">
        <f t="shared" si="404"/>
        <v>SIM</v>
      </c>
      <c r="V1155" s="56">
        <f t="shared" si="405"/>
        <v>1796</v>
      </c>
      <c r="W1155" s="58">
        <f t="shared" si="406"/>
        <v>2.0044543429844097</v>
      </c>
      <c r="X1155" s="58">
        <f t="shared" si="407"/>
        <v>731.62583518930956</v>
      </c>
      <c r="Y1155" s="58">
        <f t="shared" si="408"/>
        <v>0.91453229398663693</v>
      </c>
      <c r="Z1155" s="58"/>
      <c r="AA1155" s="58"/>
      <c r="AB1155" s="57">
        <f t="shared" si="409"/>
        <v>45292</v>
      </c>
      <c r="AC1155" s="57">
        <f t="shared" si="410"/>
        <v>45657</v>
      </c>
      <c r="AD1155" s="56">
        <v>45</v>
      </c>
      <c r="AE1155" s="56">
        <f t="shared" si="411"/>
        <v>0</v>
      </c>
      <c r="AF1155" s="56">
        <f t="shared" si="412"/>
        <v>335</v>
      </c>
      <c r="AG1155" s="56">
        <f t="shared" si="413"/>
        <v>0</v>
      </c>
      <c r="AH1155" s="56">
        <f t="shared" si="414"/>
        <v>0</v>
      </c>
      <c r="AI1155" s="56">
        <f t="shared" si="415"/>
        <v>0</v>
      </c>
      <c r="AJ1155" s="59">
        <f t="shared" si="416"/>
        <v>0.91530054644808745</v>
      </c>
      <c r="AK1155" s="59">
        <f t="shared" si="417"/>
        <v>0.8370719084303917</v>
      </c>
      <c r="AL1155" s="59">
        <f t="shared" si="418"/>
        <v>37.668235879367629</v>
      </c>
      <c r="AM1155" s="59">
        <f t="shared" si="419"/>
        <v>94.170589698419064</v>
      </c>
      <c r="AN1155" s="59">
        <f t="shared" si="420"/>
        <v>47.085294849209532</v>
      </c>
      <c r="AO1155" s="59">
        <f t="shared" si="421"/>
        <v>141.2558845476286</v>
      </c>
      <c r="AP1155" s="56" t="str">
        <f>INDEX({"EAD";"EAD";"EAD";"EAD MOOC";"EAD";"EAD";"EAD FP";"EAD";"PRESENCIAL";"PRESENCIAL";"PRESENCIAL";"PRESENCIAL"}, MATCH(CONCATENATE(E1155, ".", F1155),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55" s="56"/>
    </row>
    <row r="1156" spans="1:43" x14ac:dyDescent="0.25">
      <c r="A1156" s="56" t="s">
        <v>27</v>
      </c>
      <c r="B1156" s="56" t="s">
        <v>58</v>
      </c>
      <c r="C1156" s="56" t="s">
        <v>29</v>
      </c>
      <c r="D1156" s="56" t="s">
        <v>59</v>
      </c>
      <c r="E1156" s="56" t="s">
        <v>120</v>
      </c>
      <c r="F1156" s="56" t="s">
        <v>21</v>
      </c>
      <c r="G1156" s="56" t="s">
        <v>121</v>
      </c>
      <c r="H1156" s="56" t="s">
        <v>322</v>
      </c>
      <c r="I1156" s="56" t="s">
        <v>107</v>
      </c>
      <c r="J1156" s="56" t="s">
        <v>108</v>
      </c>
      <c r="K1156" s="56" t="s">
        <v>109</v>
      </c>
      <c r="L1156" s="56">
        <v>3075838</v>
      </c>
      <c r="M1156" s="56" t="s">
        <v>1311</v>
      </c>
      <c r="N1156" s="57">
        <f t="shared" si="428"/>
        <v>45323</v>
      </c>
      <c r="O1156" s="57">
        <f>DATE(2028,7,31)</f>
        <v>46965</v>
      </c>
      <c r="P1156" s="57">
        <f t="shared" ref="P1156:P1219" si="429">IF(G1156="QUALIFICACAO PROFISSIONAL (FIC)",O1156,O1156+1095)</f>
        <v>48060</v>
      </c>
      <c r="Q1156" s="56">
        <v>3784</v>
      </c>
      <c r="R1156" s="56">
        <v>3600</v>
      </c>
      <c r="S1156" s="56">
        <f t="shared" ref="S1156:S1219" si="430">IF(OR(G1156="QUALIFICACAO PROFISSIONAL (FIC)",G1156="DOUTORADO"),Q1156,    IF(ISNUMBER(FIND("PROEJA",K1156)),2400,        IF(K1156="INTEGRADO",            IF(R1156=800,3000,                IF(R1156=1000,3100,                    IF(R1156=1200,3200,R1156)                )            ),            R1156        )    ))</f>
        <v>3600</v>
      </c>
      <c r="T1156" s="56">
        <v>2.5</v>
      </c>
      <c r="U1156" s="56" t="str">
        <f t="shared" ref="U1156:U1219" si="431">IF(P1156&lt;AB1156,"NÃO","SIM")</f>
        <v>SIM</v>
      </c>
      <c r="V1156" s="56">
        <f t="shared" ref="V1156:V1219" si="432">O1156-N1156+1</f>
        <v>1643</v>
      </c>
      <c r="W1156" s="58">
        <f t="shared" ref="W1156:W1219" si="433">IF(S1156&gt;Q1156,Q1156,S1156)/V1156</f>
        <v>2.1911138161898966</v>
      </c>
      <c r="X1156" s="58">
        <f t="shared" ref="X1156:X1219" si="434">IF(V1156&gt;365,W1156*365,S1156)</f>
        <v>799.75654290931232</v>
      </c>
      <c r="Y1156" s="58">
        <f t="shared" ref="Y1156:Y1219" si="435">IF(V1156&gt;365,X1156/800,S1156/800)</f>
        <v>0.99969567863664044</v>
      </c>
      <c r="Z1156" s="58"/>
      <c r="AA1156" s="58"/>
      <c r="AB1156" s="57">
        <f t="shared" ref="AB1156:AB1219" si="436">DATE(2024,1,1)</f>
        <v>45292</v>
      </c>
      <c r="AC1156" s="57">
        <f t="shared" ref="AC1156:AC1219" si="437">DATE(2024,12,31)</f>
        <v>45657</v>
      </c>
      <c r="AD1156" s="56">
        <v>33</v>
      </c>
      <c r="AE1156" s="56">
        <f t="shared" ref="AE1156:AE1219" si="438">IF(AND(N1156&lt;AB1156,O1156&gt;AC1156),AC1156-AB1156+1,0)</f>
        <v>0</v>
      </c>
      <c r="AF1156" s="56">
        <f t="shared" ref="AF1156:AF1219" si="439">IF(AND(N1156&gt;=AB1156,O1156&gt;AC1156,N1156&lt;AC1156),AC1156-N1156+1,0)</f>
        <v>335</v>
      </c>
      <c r="AG1156" s="56">
        <f t="shared" ref="AG1156:AG1219" si="440">IF(AND(N1156&lt;AB1156,O1156&lt;=AC1156,O1156&gt;=AB1156),O1156-AB1156+1,0)</f>
        <v>0</v>
      </c>
      <c r="AH1156" s="56">
        <f t="shared" ref="AH1156:AH1219" si="441">IF(AND(N1156&gt;=AB1156,O1156&lt;=AC1156),O1156-N1156+1,0)</f>
        <v>0</v>
      </c>
      <c r="AI1156" s="56">
        <f t="shared" ref="AI1156:AI1219" si="442">IF(AND(N1156&lt;AB1156,O1156&lt;AB1156),(AC1156-AB1156+1)/2,0)</f>
        <v>0</v>
      </c>
      <c r="AJ1156" s="59">
        <f t="shared" ref="AJ1156:AJ1219" si="443">SUM(AE1156:AI1156)/IF(V1156&gt;=365,AC1156-AB1156+1,V1156)</f>
        <v>0.91530054644808745</v>
      </c>
      <c r="AK1156" s="59">
        <f t="shared" ref="AK1156:AK1219" si="444">Y1156*AJ1156</f>
        <v>0.91502200093790864</v>
      </c>
      <c r="AL1156" s="59">
        <f t="shared" ref="AL1156:AL1219" si="445">IF(AI1156=0,AK1156*AD1156,IF(U1156="SIM",AK1156*(AD1156/2),0))</f>
        <v>30.195726030950986</v>
      </c>
      <c r="AM1156" s="59">
        <f t="shared" ref="AM1156:AM1219" si="446">AL1156*T1156</f>
        <v>75.489315077377469</v>
      </c>
      <c r="AN1156" s="59">
        <f t="shared" ref="AN1156:AN1219" si="447">IF(J1156="SIM",AM1156*50%,0)</f>
        <v>37.744657538688735</v>
      </c>
      <c r="AO1156" s="59">
        <f t="shared" ref="AO1156:AO1219" si="448">IF(U1156="SIM",AM1156+AN1156,0)</f>
        <v>113.23397261606621</v>
      </c>
      <c r="AP1156" s="56" t="str">
        <f>INDEX({"EAD";"EAD";"EAD";"EAD MOOC";"EAD";"EAD";"EAD FP";"EAD";"PRESENCIAL";"PRESENCIAL";"PRESENCIAL";"PRESENCIAL"}, MATCH(CONCATENATE(E1156, ".", F1156),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56" s="56"/>
    </row>
    <row r="1157" spans="1:43" x14ac:dyDescent="0.25">
      <c r="A1157" s="56" t="s">
        <v>27</v>
      </c>
      <c r="B1157" s="56" t="s">
        <v>58</v>
      </c>
      <c r="C1157" s="56" t="s">
        <v>29</v>
      </c>
      <c r="D1157" s="56" t="s">
        <v>59</v>
      </c>
      <c r="E1157" s="56" t="s">
        <v>120</v>
      </c>
      <c r="F1157" s="56" t="s">
        <v>21</v>
      </c>
      <c r="G1157" s="56" t="s">
        <v>140</v>
      </c>
      <c r="H1157" s="56" t="s">
        <v>1146</v>
      </c>
      <c r="I1157" s="56" t="s">
        <v>209</v>
      </c>
      <c r="J1157" s="56" t="s">
        <v>125</v>
      </c>
      <c r="K1157" s="56" t="s">
        <v>109</v>
      </c>
      <c r="L1157" s="56">
        <v>3075849</v>
      </c>
      <c r="M1157" s="56" t="s">
        <v>1312</v>
      </c>
      <c r="N1157" s="57">
        <f t="shared" si="428"/>
        <v>45323</v>
      </c>
      <c r="O1157" s="57">
        <f>DATE(2026,12,31)</f>
        <v>46387</v>
      </c>
      <c r="P1157" s="57">
        <f t="shared" si="429"/>
        <v>47482</v>
      </c>
      <c r="Q1157" s="56">
        <v>2200</v>
      </c>
      <c r="R1157" s="56">
        <v>2000</v>
      </c>
      <c r="S1157" s="56">
        <f t="shared" si="430"/>
        <v>2000</v>
      </c>
      <c r="T1157" s="56">
        <v>1.5</v>
      </c>
      <c r="U1157" s="56" t="str">
        <f t="shared" si="431"/>
        <v>SIM</v>
      </c>
      <c r="V1157" s="56">
        <f t="shared" si="432"/>
        <v>1065</v>
      </c>
      <c r="W1157" s="58">
        <f t="shared" si="433"/>
        <v>1.8779342723004695</v>
      </c>
      <c r="X1157" s="58">
        <f t="shared" si="434"/>
        <v>685.44600938967142</v>
      </c>
      <c r="Y1157" s="58">
        <f t="shared" si="435"/>
        <v>0.85680751173708924</v>
      </c>
      <c r="Z1157" s="58"/>
      <c r="AA1157" s="58"/>
      <c r="AB1157" s="57">
        <f t="shared" si="436"/>
        <v>45292</v>
      </c>
      <c r="AC1157" s="57">
        <f t="shared" si="437"/>
        <v>45657</v>
      </c>
      <c r="AD1157" s="56">
        <v>35</v>
      </c>
      <c r="AE1157" s="56">
        <f t="shared" si="438"/>
        <v>0</v>
      </c>
      <c r="AF1157" s="56">
        <f t="shared" si="439"/>
        <v>335</v>
      </c>
      <c r="AG1157" s="56">
        <f t="shared" si="440"/>
        <v>0</v>
      </c>
      <c r="AH1157" s="56">
        <f t="shared" si="441"/>
        <v>0</v>
      </c>
      <c r="AI1157" s="56">
        <f t="shared" si="442"/>
        <v>0</v>
      </c>
      <c r="AJ1157" s="59">
        <f t="shared" si="443"/>
        <v>0.91530054644808745</v>
      </c>
      <c r="AK1157" s="59">
        <f t="shared" si="444"/>
        <v>0.7842363836937839</v>
      </c>
      <c r="AL1157" s="59">
        <f t="shared" si="445"/>
        <v>27.448273429282438</v>
      </c>
      <c r="AM1157" s="59">
        <f t="shared" si="446"/>
        <v>41.172410143923656</v>
      </c>
      <c r="AN1157" s="59">
        <f t="shared" si="447"/>
        <v>0</v>
      </c>
      <c r="AO1157" s="59">
        <f t="shared" si="448"/>
        <v>41.172410143923656</v>
      </c>
      <c r="AP1157" s="56" t="str">
        <f>INDEX({"EAD";"EAD";"EAD";"EAD MOOC";"EAD";"EAD";"EAD FP";"EAD";"PRESENCIAL";"PRESENCIAL";"PRESENCIAL";"PRESENCIAL"}, MATCH(CONCATENATE(E1157, ".", F1157),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57" s="56"/>
    </row>
    <row r="1158" spans="1:43" x14ac:dyDescent="0.25">
      <c r="A1158" s="56" t="s">
        <v>27</v>
      </c>
      <c r="B1158" s="56" t="s">
        <v>58</v>
      </c>
      <c r="C1158" s="56" t="s">
        <v>29</v>
      </c>
      <c r="D1158" s="56" t="s">
        <v>59</v>
      </c>
      <c r="E1158" s="56" t="s">
        <v>120</v>
      </c>
      <c r="F1158" s="56" t="s">
        <v>21</v>
      </c>
      <c r="G1158" s="56" t="s">
        <v>128</v>
      </c>
      <c r="H1158" s="56" t="s">
        <v>208</v>
      </c>
      <c r="I1158" s="56" t="s">
        <v>209</v>
      </c>
      <c r="J1158" s="56" t="s">
        <v>125</v>
      </c>
      <c r="K1158" s="56" t="s">
        <v>130</v>
      </c>
      <c r="L1158" s="56">
        <v>3075851</v>
      </c>
      <c r="M1158" s="56" t="s">
        <v>1313</v>
      </c>
      <c r="N1158" s="57">
        <f t="shared" si="428"/>
        <v>45323</v>
      </c>
      <c r="O1158" s="57">
        <f>DATE(2026,12,31)</f>
        <v>46387</v>
      </c>
      <c r="P1158" s="57">
        <f t="shared" si="429"/>
        <v>47482</v>
      </c>
      <c r="Q1158" s="56">
        <v>3150</v>
      </c>
      <c r="R1158" s="56">
        <v>1200</v>
      </c>
      <c r="S1158" s="56">
        <f t="shared" si="430"/>
        <v>3200</v>
      </c>
      <c r="T1158" s="56">
        <v>1.5</v>
      </c>
      <c r="U1158" s="56" t="str">
        <f t="shared" si="431"/>
        <v>SIM</v>
      </c>
      <c r="V1158" s="56">
        <f t="shared" si="432"/>
        <v>1065</v>
      </c>
      <c r="W1158" s="58">
        <f t="shared" si="433"/>
        <v>2.9577464788732395</v>
      </c>
      <c r="X1158" s="58">
        <f t="shared" si="434"/>
        <v>1079.5774647887324</v>
      </c>
      <c r="Y1158" s="58">
        <f t="shared" si="435"/>
        <v>1.3494718309859155</v>
      </c>
      <c r="Z1158" s="58"/>
      <c r="AA1158" s="58"/>
      <c r="AB1158" s="57">
        <f t="shared" si="436"/>
        <v>45292</v>
      </c>
      <c r="AC1158" s="57">
        <f t="shared" si="437"/>
        <v>45657</v>
      </c>
      <c r="AD1158" s="56">
        <v>36</v>
      </c>
      <c r="AE1158" s="56">
        <f t="shared" si="438"/>
        <v>0</v>
      </c>
      <c r="AF1158" s="56">
        <f t="shared" si="439"/>
        <v>335</v>
      </c>
      <c r="AG1158" s="56">
        <f t="shared" si="440"/>
        <v>0</v>
      </c>
      <c r="AH1158" s="56">
        <f t="shared" si="441"/>
        <v>0</v>
      </c>
      <c r="AI1158" s="56">
        <f t="shared" si="442"/>
        <v>0</v>
      </c>
      <c r="AJ1158" s="59">
        <f t="shared" si="443"/>
        <v>0.91530054644808745</v>
      </c>
      <c r="AK1158" s="59">
        <f t="shared" si="444"/>
        <v>1.2351723043177096</v>
      </c>
      <c r="AL1158" s="59">
        <f t="shared" si="445"/>
        <v>44.466202955437545</v>
      </c>
      <c r="AM1158" s="59">
        <f t="shared" si="446"/>
        <v>66.699304433156314</v>
      </c>
      <c r="AN1158" s="59">
        <f t="shared" si="447"/>
        <v>0</v>
      </c>
      <c r="AO1158" s="59">
        <f t="shared" si="448"/>
        <v>66.699304433156314</v>
      </c>
      <c r="AP1158" s="56" t="str">
        <f>INDEX({"EAD";"EAD";"EAD";"EAD MOOC";"EAD";"EAD";"EAD FP";"EAD";"PRESENCIAL";"PRESENCIAL";"PRESENCIAL";"PRESENCIAL"}, MATCH(CONCATENATE(E1158, ".", F1158),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58" s="56"/>
    </row>
    <row r="1159" spans="1:43" x14ac:dyDescent="0.25">
      <c r="A1159" s="1" t="s">
        <v>27</v>
      </c>
      <c r="B1159" s="1" t="s">
        <v>58</v>
      </c>
      <c r="C1159" s="1" t="s">
        <v>29</v>
      </c>
      <c r="D1159" s="1" t="s">
        <v>59</v>
      </c>
      <c r="E1159" s="1" t="s">
        <v>120</v>
      </c>
      <c r="F1159" s="1" t="s">
        <v>21</v>
      </c>
      <c r="G1159" s="1" t="s">
        <v>128</v>
      </c>
      <c r="H1159" s="1" t="s">
        <v>445</v>
      </c>
      <c r="I1159" s="1" t="s">
        <v>107</v>
      </c>
      <c r="J1159" s="1" t="s">
        <v>108</v>
      </c>
      <c r="K1159" s="1" t="s">
        <v>163</v>
      </c>
      <c r="L1159" s="1">
        <v>3079992</v>
      </c>
      <c r="M1159" s="1" t="s">
        <v>1314</v>
      </c>
      <c r="N1159" s="5">
        <f t="shared" si="428"/>
        <v>45323</v>
      </c>
      <c r="O1159" s="5">
        <f>DATE(2024,12,29)</f>
        <v>45655</v>
      </c>
      <c r="P1159" s="5">
        <f t="shared" si="429"/>
        <v>46750</v>
      </c>
      <c r="Q1159" s="1">
        <v>1224</v>
      </c>
      <c r="R1159" s="1">
        <v>1200</v>
      </c>
      <c r="S1159" s="1">
        <f t="shared" si="430"/>
        <v>1200</v>
      </c>
      <c r="T1159" s="1">
        <v>2</v>
      </c>
      <c r="U1159" s="1" t="str">
        <f t="shared" si="431"/>
        <v>SIM</v>
      </c>
      <c r="V1159" s="1">
        <f t="shared" si="432"/>
        <v>333</v>
      </c>
      <c r="W1159" s="4">
        <f t="shared" si="433"/>
        <v>3.6036036036036037</v>
      </c>
      <c r="X1159" s="4">
        <f t="shared" si="434"/>
        <v>1200</v>
      </c>
      <c r="Y1159" s="4">
        <f t="shared" si="435"/>
        <v>1.5</v>
      </c>
      <c r="AB1159" s="5">
        <f t="shared" si="436"/>
        <v>45292</v>
      </c>
      <c r="AC1159" s="5">
        <f t="shared" si="437"/>
        <v>45657</v>
      </c>
      <c r="AD1159" s="1">
        <v>18</v>
      </c>
      <c r="AE1159" s="1">
        <f t="shared" si="438"/>
        <v>0</v>
      </c>
      <c r="AF1159" s="1">
        <f t="shared" si="439"/>
        <v>0</v>
      </c>
      <c r="AG1159" s="1">
        <f t="shared" si="440"/>
        <v>0</v>
      </c>
      <c r="AH1159" s="1">
        <f t="shared" si="441"/>
        <v>333</v>
      </c>
      <c r="AI1159" s="1">
        <f t="shared" si="442"/>
        <v>0</v>
      </c>
      <c r="AJ1159" s="3">
        <f t="shared" si="443"/>
        <v>1</v>
      </c>
      <c r="AK1159" s="3">
        <f t="shared" si="444"/>
        <v>1.5</v>
      </c>
      <c r="AL1159" s="3">
        <f t="shared" si="445"/>
        <v>27</v>
      </c>
      <c r="AM1159" s="3">
        <f t="shared" si="446"/>
        <v>54</v>
      </c>
      <c r="AN1159" s="3">
        <f t="shared" si="447"/>
        <v>27</v>
      </c>
      <c r="AO1159" s="3">
        <f t="shared" si="448"/>
        <v>81</v>
      </c>
      <c r="AP1159" s="1" t="str">
        <f>INDEX({"EAD";"EAD";"EAD";"EAD MOOC";"EAD";"EAD";"EAD FP";"EAD";"PRESENCIAL";"PRESENCIAL";"PRESENCIAL";"PRESENCIAL"}, MATCH(CONCATENATE(E1159, ".", F1159),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60" spans="1:43" x14ac:dyDescent="0.25">
      <c r="A1160" s="1" t="s">
        <v>27</v>
      </c>
      <c r="B1160" s="1" t="s">
        <v>58</v>
      </c>
      <c r="C1160" s="1" t="s">
        <v>29</v>
      </c>
      <c r="D1160" s="1" t="s">
        <v>59</v>
      </c>
      <c r="E1160" s="1" t="s">
        <v>120</v>
      </c>
      <c r="F1160" s="1" t="s">
        <v>21</v>
      </c>
      <c r="G1160" s="1" t="s">
        <v>128</v>
      </c>
      <c r="H1160" s="1" t="s">
        <v>907</v>
      </c>
      <c r="I1160" s="1" t="s">
        <v>224</v>
      </c>
      <c r="J1160" s="1" t="s">
        <v>125</v>
      </c>
      <c r="K1160" s="1" t="s">
        <v>130</v>
      </c>
      <c r="L1160" s="1">
        <v>3083264</v>
      </c>
      <c r="M1160" s="1" t="s">
        <v>1315</v>
      </c>
      <c r="N1160" s="5">
        <f t="shared" si="428"/>
        <v>45323</v>
      </c>
      <c r="O1160" s="5">
        <f>DATE(2026,12,31)</f>
        <v>46387</v>
      </c>
      <c r="P1160" s="5">
        <f t="shared" si="429"/>
        <v>47482</v>
      </c>
      <c r="Q1160" s="1">
        <v>3672</v>
      </c>
      <c r="R1160" s="1">
        <v>1200</v>
      </c>
      <c r="S1160" s="1">
        <f t="shared" si="430"/>
        <v>3200</v>
      </c>
      <c r="T1160" s="1">
        <v>1.5</v>
      </c>
      <c r="U1160" s="1" t="str">
        <f t="shared" si="431"/>
        <v>SIM</v>
      </c>
      <c r="V1160" s="1">
        <f t="shared" si="432"/>
        <v>1065</v>
      </c>
      <c r="W1160" s="4">
        <f t="shared" si="433"/>
        <v>3.004694835680751</v>
      </c>
      <c r="X1160" s="4">
        <f t="shared" si="434"/>
        <v>1096.7136150234742</v>
      </c>
      <c r="Y1160" s="4">
        <f t="shared" si="435"/>
        <v>1.3708920187793427</v>
      </c>
      <c r="AB1160" s="5">
        <f t="shared" si="436"/>
        <v>45292</v>
      </c>
      <c r="AC1160" s="5">
        <f t="shared" si="437"/>
        <v>45657</v>
      </c>
      <c r="AD1160" s="1">
        <v>74</v>
      </c>
      <c r="AE1160" s="1">
        <f t="shared" si="438"/>
        <v>0</v>
      </c>
      <c r="AF1160" s="1">
        <f t="shared" si="439"/>
        <v>335</v>
      </c>
      <c r="AG1160" s="1">
        <f t="shared" si="440"/>
        <v>0</v>
      </c>
      <c r="AH1160" s="1">
        <f t="shared" si="441"/>
        <v>0</v>
      </c>
      <c r="AI1160" s="1">
        <f t="shared" si="442"/>
        <v>0</v>
      </c>
      <c r="AJ1160" s="3">
        <f t="shared" si="443"/>
        <v>0.91530054644808745</v>
      </c>
      <c r="AK1160" s="3">
        <f t="shared" si="444"/>
        <v>1.2547782139100543</v>
      </c>
      <c r="AL1160" s="3">
        <f t="shared" si="445"/>
        <v>92.853587829344022</v>
      </c>
      <c r="AM1160" s="3">
        <f t="shared" si="446"/>
        <v>139.28038174401604</v>
      </c>
      <c r="AN1160" s="3">
        <f t="shared" si="447"/>
        <v>0</v>
      </c>
      <c r="AO1160" s="3">
        <f t="shared" si="448"/>
        <v>139.28038174401604</v>
      </c>
      <c r="AP1160" s="1" t="str">
        <f>INDEX({"EAD";"EAD";"EAD";"EAD MOOC";"EAD";"EAD";"EAD FP";"EAD";"PRESENCIAL";"PRESENCIAL";"PRESENCIAL";"PRESENCIAL"}, MATCH(CONCATENATE(E1160, ".", F1160),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61" spans="1:43" x14ac:dyDescent="0.25">
      <c r="A1161" s="1" t="s">
        <v>27</v>
      </c>
      <c r="B1161" s="1" t="s">
        <v>58</v>
      </c>
      <c r="C1161" s="1" t="s">
        <v>29</v>
      </c>
      <c r="D1161" s="1" t="s">
        <v>59</v>
      </c>
      <c r="E1161" s="1" t="s">
        <v>120</v>
      </c>
      <c r="F1161" s="1" t="s">
        <v>21</v>
      </c>
      <c r="G1161" s="1" t="s">
        <v>278</v>
      </c>
      <c r="H1161" s="1" t="s">
        <v>1017</v>
      </c>
      <c r="I1161" s="1" t="s">
        <v>172</v>
      </c>
      <c r="J1161" s="1" t="s">
        <v>125</v>
      </c>
      <c r="K1161" s="1" t="s">
        <v>109</v>
      </c>
      <c r="L1161" s="1">
        <v>3083267</v>
      </c>
      <c r="M1161" s="1" t="s">
        <v>1316</v>
      </c>
      <c r="N1161" s="5">
        <f t="shared" si="428"/>
        <v>45323</v>
      </c>
      <c r="O1161" s="5">
        <f>DATE(2027,12,31)</f>
        <v>46752</v>
      </c>
      <c r="P1161" s="5">
        <f t="shared" si="429"/>
        <v>47847</v>
      </c>
      <c r="Q1161" s="1">
        <v>3205</v>
      </c>
      <c r="R1161" s="1">
        <v>3200</v>
      </c>
      <c r="S1161" s="1">
        <f t="shared" si="430"/>
        <v>3200</v>
      </c>
      <c r="T1161" s="1">
        <v>2.5</v>
      </c>
      <c r="U1161" s="1" t="str">
        <f t="shared" si="431"/>
        <v>SIM</v>
      </c>
      <c r="V1161" s="1">
        <f t="shared" si="432"/>
        <v>1430</v>
      </c>
      <c r="W1161" s="4">
        <f t="shared" si="433"/>
        <v>2.2377622377622379</v>
      </c>
      <c r="X1161" s="4">
        <f t="shared" si="434"/>
        <v>816.78321678321686</v>
      </c>
      <c r="Y1161" s="4">
        <f t="shared" si="435"/>
        <v>1.020979020979021</v>
      </c>
      <c r="AB1161" s="5">
        <f t="shared" si="436"/>
        <v>45292</v>
      </c>
      <c r="AC1161" s="5">
        <f t="shared" si="437"/>
        <v>45657</v>
      </c>
      <c r="AD1161" s="1">
        <v>38</v>
      </c>
      <c r="AE1161" s="1">
        <f t="shared" si="438"/>
        <v>0</v>
      </c>
      <c r="AF1161" s="1">
        <f t="shared" si="439"/>
        <v>335</v>
      </c>
      <c r="AG1161" s="1">
        <f t="shared" si="440"/>
        <v>0</v>
      </c>
      <c r="AH1161" s="1">
        <f t="shared" si="441"/>
        <v>0</v>
      </c>
      <c r="AI1161" s="1">
        <f t="shared" si="442"/>
        <v>0</v>
      </c>
      <c r="AJ1161" s="3">
        <f t="shared" si="443"/>
        <v>0.91530054644808745</v>
      </c>
      <c r="AK1161" s="3">
        <f t="shared" si="444"/>
        <v>0.93450265581413128</v>
      </c>
      <c r="AL1161" s="3">
        <f t="shared" si="445"/>
        <v>35.51110092093699</v>
      </c>
      <c r="AM1161" s="3">
        <f t="shared" si="446"/>
        <v>88.777752302342478</v>
      </c>
      <c r="AN1161" s="3">
        <f t="shared" si="447"/>
        <v>0</v>
      </c>
      <c r="AO1161" s="3">
        <f t="shared" si="448"/>
        <v>88.777752302342478</v>
      </c>
      <c r="AP1161" s="1" t="str">
        <f>INDEX({"EAD";"EAD";"EAD";"EAD MOOC";"EAD";"EAD";"EAD FP";"EAD";"PRESENCIAL";"PRESENCIAL";"PRESENCIAL";"PRESENCIAL"}, MATCH(CONCATENATE(E1161, ".", F1161),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62" spans="1:43" x14ac:dyDescent="0.25">
      <c r="A1162" s="1" t="s">
        <v>27</v>
      </c>
      <c r="B1162" s="1" t="s">
        <v>58</v>
      </c>
      <c r="C1162" s="1" t="s">
        <v>29</v>
      </c>
      <c r="D1162" s="1" t="s">
        <v>59</v>
      </c>
      <c r="E1162" s="1" t="s">
        <v>120</v>
      </c>
      <c r="F1162" s="1" t="s">
        <v>21</v>
      </c>
      <c r="G1162" s="1" t="s">
        <v>128</v>
      </c>
      <c r="H1162" s="1" t="s">
        <v>1297</v>
      </c>
      <c r="I1162" s="1" t="s">
        <v>172</v>
      </c>
      <c r="J1162" s="1" t="s">
        <v>125</v>
      </c>
      <c r="K1162" s="1" t="s">
        <v>163</v>
      </c>
      <c r="L1162" s="1">
        <v>3083278</v>
      </c>
      <c r="M1162" s="1" t="s">
        <v>1317</v>
      </c>
      <c r="N1162" s="5">
        <f t="shared" si="428"/>
        <v>45323</v>
      </c>
      <c r="O1162" s="5">
        <f>DATE(2025,6,30)</f>
        <v>45838</v>
      </c>
      <c r="P1162" s="5">
        <f t="shared" si="429"/>
        <v>46933</v>
      </c>
      <c r="Q1162" s="1">
        <v>809</v>
      </c>
      <c r="R1162" s="1">
        <v>800</v>
      </c>
      <c r="S1162" s="1">
        <f t="shared" si="430"/>
        <v>800</v>
      </c>
      <c r="T1162" s="1">
        <v>2.5</v>
      </c>
      <c r="U1162" s="1" t="str">
        <f t="shared" si="431"/>
        <v>SIM</v>
      </c>
      <c r="V1162" s="1">
        <f t="shared" si="432"/>
        <v>516</v>
      </c>
      <c r="W1162" s="4">
        <f t="shared" si="433"/>
        <v>1.5503875968992249</v>
      </c>
      <c r="X1162" s="4">
        <f t="shared" si="434"/>
        <v>565.89147286821708</v>
      </c>
      <c r="Y1162" s="4">
        <f t="shared" si="435"/>
        <v>0.70736434108527135</v>
      </c>
      <c r="AB1162" s="5">
        <f t="shared" si="436"/>
        <v>45292</v>
      </c>
      <c r="AC1162" s="5">
        <f t="shared" si="437"/>
        <v>45657</v>
      </c>
      <c r="AD1162" s="1">
        <v>37</v>
      </c>
      <c r="AE1162" s="1">
        <f t="shared" si="438"/>
        <v>0</v>
      </c>
      <c r="AF1162" s="1">
        <f t="shared" si="439"/>
        <v>335</v>
      </c>
      <c r="AG1162" s="1">
        <f t="shared" si="440"/>
        <v>0</v>
      </c>
      <c r="AH1162" s="1">
        <f t="shared" si="441"/>
        <v>0</v>
      </c>
      <c r="AI1162" s="1">
        <f t="shared" si="442"/>
        <v>0</v>
      </c>
      <c r="AJ1162" s="3">
        <f t="shared" si="443"/>
        <v>0.91530054644808745</v>
      </c>
      <c r="AK1162" s="3">
        <f t="shared" si="444"/>
        <v>0.6474509679332402</v>
      </c>
      <c r="AL1162" s="3">
        <f t="shared" si="445"/>
        <v>23.955685813529886</v>
      </c>
      <c r="AM1162" s="3">
        <f t="shared" si="446"/>
        <v>59.889214533824713</v>
      </c>
      <c r="AN1162" s="3">
        <f t="shared" si="447"/>
        <v>0</v>
      </c>
      <c r="AO1162" s="3">
        <f t="shared" si="448"/>
        <v>59.889214533824713</v>
      </c>
      <c r="AP1162" s="1" t="str">
        <f>INDEX({"EAD";"EAD";"EAD";"EAD MOOC";"EAD";"EAD";"EAD FP";"EAD";"PRESENCIAL";"PRESENCIAL";"PRESENCIAL";"PRESENCIAL"}, MATCH(CONCATENATE(E1162, ".", F1162),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63" spans="1:43" x14ac:dyDescent="0.25">
      <c r="A1163" s="1" t="s">
        <v>27</v>
      </c>
      <c r="B1163" s="1" t="s">
        <v>58</v>
      </c>
      <c r="C1163" s="1" t="s">
        <v>29</v>
      </c>
      <c r="D1163" s="1" t="s">
        <v>59</v>
      </c>
      <c r="E1163" s="1" t="s">
        <v>120</v>
      </c>
      <c r="F1163" s="1" t="s">
        <v>21</v>
      </c>
      <c r="G1163" s="1" t="s">
        <v>128</v>
      </c>
      <c r="H1163" s="1" t="s">
        <v>132</v>
      </c>
      <c r="I1163" s="1" t="s">
        <v>107</v>
      </c>
      <c r="J1163" s="1" t="s">
        <v>108</v>
      </c>
      <c r="K1163" s="1" t="s">
        <v>130</v>
      </c>
      <c r="L1163" s="1">
        <v>3075009</v>
      </c>
      <c r="M1163" s="1" t="s">
        <v>1318</v>
      </c>
      <c r="N1163" s="5">
        <f>DATE(2024,2,2)</f>
        <v>45324</v>
      </c>
      <c r="O1163" s="5">
        <f>DATE(2026,12,29)</f>
        <v>46385</v>
      </c>
      <c r="P1163" s="5">
        <f t="shared" si="429"/>
        <v>47480</v>
      </c>
      <c r="Q1163" s="1">
        <v>3882</v>
      </c>
      <c r="R1163" s="1">
        <v>1200</v>
      </c>
      <c r="S1163" s="1">
        <f t="shared" si="430"/>
        <v>3200</v>
      </c>
      <c r="T1163" s="1">
        <v>2.5</v>
      </c>
      <c r="U1163" s="1" t="str">
        <f t="shared" si="431"/>
        <v>SIM</v>
      </c>
      <c r="V1163" s="1">
        <f t="shared" si="432"/>
        <v>1062</v>
      </c>
      <c r="W1163" s="4">
        <f t="shared" si="433"/>
        <v>3.0131826741996233</v>
      </c>
      <c r="X1163" s="4">
        <f t="shared" si="434"/>
        <v>1099.8116760828625</v>
      </c>
      <c r="Y1163" s="4">
        <f t="shared" si="435"/>
        <v>1.3747645951035781</v>
      </c>
      <c r="AB1163" s="5">
        <f t="shared" si="436"/>
        <v>45292</v>
      </c>
      <c r="AC1163" s="5">
        <f t="shared" si="437"/>
        <v>45657</v>
      </c>
      <c r="AD1163" s="1">
        <v>193</v>
      </c>
      <c r="AE1163" s="1">
        <f t="shared" si="438"/>
        <v>0</v>
      </c>
      <c r="AF1163" s="1">
        <f t="shared" si="439"/>
        <v>334</v>
      </c>
      <c r="AG1163" s="1">
        <f t="shared" si="440"/>
        <v>0</v>
      </c>
      <c r="AH1163" s="1">
        <f t="shared" si="441"/>
        <v>0</v>
      </c>
      <c r="AI1163" s="1">
        <f t="shared" si="442"/>
        <v>0</v>
      </c>
      <c r="AJ1163" s="3">
        <f t="shared" si="443"/>
        <v>0.91256830601092898</v>
      </c>
      <c r="AK1163" s="3">
        <f t="shared" si="444"/>
        <v>1.2545665977174729</v>
      </c>
      <c r="AL1163" s="3">
        <f t="shared" si="445"/>
        <v>242.13135335947229</v>
      </c>
      <c r="AM1163" s="3">
        <f t="shared" si="446"/>
        <v>605.32838339868067</v>
      </c>
      <c r="AN1163" s="3">
        <f t="shared" si="447"/>
        <v>302.66419169934034</v>
      </c>
      <c r="AO1163" s="3">
        <f t="shared" si="448"/>
        <v>907.99257509802101</v>
      </c>
      <c r="AP1163" s="1" t="str">
        <f>INDEX({"EAD";"EAD";"EAD";"EAD MOOC";"EAD";"EAD";"EAD FP";"EAD";"PRESENCIAL";"PRESENCIAL";"PRESENCIAL";"PRESENCIAL"}, MATCH(CONCATENATE(E1163, ".", F1163),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64" spans="1:43" x14ac:dyDescent="0.25">
      <c r="A1164" s="1" t="s">
        <v>27</v>
      </c>
      <c r="B1164" s="1" t="s">
        <v>58</v>
      </c>
      <c r="C1164" s="1" t="s">
        <v>29</v>
      </c>
      <c r="D1164" s="1" t="s">
        <v>59</v>
      </c>
      <c r="E1164" s="1" t="s">
        <v>120</v>
      </c>
      <c r="F1164" s="1" t="s">
        <v>21</v>
      </c>
      <c r="G1164" s="1" t="s">
        <v>121</v>
      </c>
      <c r="H1164" s="1" t="s">
        <v>106</v>
      </c>
      <c r="I1164" s="1" t="s">
        <v>107</v>
      </c>
      <c r="J1164" s="1" t="s">
        <v>108</v>
      </c>
      <c r="K1164" s="1" t="s">
        <v>109</v>
      </c>
      <c r="L1164" s="1">
        <v>3075013</v>
      </c>
      <c r="M1164" s="1" t="s">
        <v>1319</v>
      </c>
      <c r="N1164" s="5">
        <f>DATE(2024,2,2)</f>
        <v>45324</v>
      </c>
      <c r="O1164" s="5">
        <f>DATE(2028,12,29)</f>
        <v>47116</v>
      </c>
      <c r="P1164" s="5">
        <f t="shared" si="429"/>
        <v>48211</v>
      </c>
      <c r="Q1164" s="1">
        <v>3780</v>
      </c>
      <c r="R1164" s="1">
        <v>3600</v>
      </c>
      <c r="S1164" s="1">
        <f t="shared" si="430"/>
        <v>3600</v>
      </c>
      <c r="T1164" s="1">
        <v>2.5</v>
      </c>
      <c r="U1164" s="1" t="str">
        <f t="shared" si="431"/>
        <v>SIM</v>
      </c>
      <c r="V1164" s="1">
        <f t="shared" si="432"/>
        <v>1793</v>
      </c>
      <c r="W1164" s="4">
        <f t="shared" si="433"/>
        <v>2.0078081427774679</v>
      </c>
      <c r="X1164" s="4">
        <f t="shared" si="434"/>
        <v>732.84997211377583</v>
      </c>
      <c r="Y1164" s="4">
        <f t="shared" si="435"/>
        <v>0.91606246514221978</v>
      </c>
      <c r="AB1164" s="5">
        <f t="shared" si="436"/>
        <v>45292</v>
      </c>
      <c r="AC1164" s="5">
        <f t="shared" si="437"/>
        <v>45657</v>
      </c>
      <c r="AD1164" s="1">
        <v>37</v>
      </c>
      <c r="AE1164" s="1">
        <f t="shared" si="438"/>
        <v>0</v>
      </c>
      <c r="AF1164" s="1">
        <f t="shared" si="439"/>
        <v>334</v>
      </c>
      <c r="AG1164" s="1">
        <f t="shared" si="440"/>
        <v>0</v>
      </c>
      <c r="AH1164" s="1">
        <f t="shared" si="441"/>
        <v>0</v>
      </c>
      <c r="AI1164" s="1">
        <f t="shared" si="442"/>
        <v>0</v>
      </c>
      <c r="AJ1164" s="3">
        <f t="shared" si="443"/>
        <v>0.91256830601092898</v>
      </c>
      <c r="AK1164" s="3">
        <f t="shared" si="444"/>
        <v>0.83596957201503119</v>
      </c>
      <c r="AL1164" s="3">
        <f t="shared" si="445"/>
        <v>30.930874164556155</v>
      </c>
      <c r="AM1164" s="3">
        <f t="shared" si="446"/>
        <v>77.327185411390388</v>
      </c>
      <c r="AN1164" s="3">
        <f t="shared" si="447"/>
        <v>38.663592705695194</v>
      </c>
      <c r="AO1164" s="3">
        <f t="shared" si="448"/>
        <v>115.99077811708558</v>
      </c>
      <c r="AP1164" s="1" t="str">
        <f>INDEX({"EAD";"EAD";"EAD";"EAD MOOC";"EAD";"EAD";"EAD FP";"EAD";"PRESENCIAL";"PRESENCIAL";"PRESENCIAL";"PRESENCIAL"}, MATCH(CONCATENATE(E1164, ".", F1164),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65" spans="1:43" x14ac:dyDescent="0.25">
      <c r="A1165" s="1" t="s">
        <v>27</v>
      </c>
      <c r="B1165" s="1" t="s">
        <v>58</v>
      </c>
      <c r="C1165" s="1" t="s">
        <v>29</v>
      </c>
      <c r="D1165" s="1" t="s">
        <v>59</v>
      </c>
      <c r="E1165" s="1" t="s">
        <v>120</v>
      </c>
      <c r="F1165" s="1" t="s">
        <v>447</v>
      </c>
      <c r="G1165" s="1" t="s">
        <v>128</v>
      </c>
      <c r="H1165" s="1" t="s">
        <v>907</v>
      </c>
      <c r="I1165" s="1" t="s">
        <v>224</v>
      </c>
      <c r="J1165" s="1" t="s">
        <v>125</v>
      </c>
      <c r="K1165" s="1" t="s">
        <v>259</v>
      </c>
      <c r="L1165" s="1">
        <v>3083276</v>
      </c>
      <c r="M1165" s="1" t="s">
        <v>1320</v>
      </c>
      <c r="N1165" s="5">
        <f>DATE(2024,2,5)</f>
        <v>45327</v>
      </c>
      <c r="O1165" s="5">
        <f>DATE(2026,12,31)</f>
        <v>46387</v>
      </c>
      <c r="P1165" s="5">
        <f t="shared" si="429"/>
        <v>47482</v>
      </c>
      <c r="Q1165" s="1">
        <v>1200</v>
      </c>
      <c r="R1165" s="1">
        <v>1200</v>
      </c>
      <c r="S1165" s="1">
        <f t="shared" si="430"/>
        <v>1200</v>
      </c>
      <c r="T1165" s="1">
        <v>1.5</v>
      </c>
      <c r="U1165" s="1" t="str">
        <f t="shared" si="431"/>
        <v>SIM</v>
      </c>
      <c r="V1165" s="1">
        <f t="shared" si="432"/>
        <v>1061</v>
      </c>
      <c r="W1165" s="4">
        <f t="shared" si="433"/>
        <v>1.1310084825636193</v>
      </c>
      <c r="X1165" s="4">
        <f t="shared" si="434"/>
        <v>412.81809613572102</v>
      </c>
      <c r="Y1165" s="4">
        <f t="shared" si="435"/>
        <v>0.51602262016965128</v>
      </c>
      <c r="AB1165" s="5">
        <f t="shared" si="436"/>
        <v>45292</v>
      </c>
      <c r="AC1165" s="5">
        <f t="shared" si="437"/>
        <v>45657</v>
      </c>
      <c r="AD1165" s="1">
        <v>34</v>
      </c>
      <c r="AE1165" s="1">
        <f t="shared" si="438"/>
        <v>0</v>
      </c>
      <c r="AF1165" s="1">
        <f t="shared" si="439"/>
        <v>331</v>
      </c>
      <c r="AG1165" s="1">
        <f t="shared" si="440"/>
        <v>0</v>
      </c>
      <c r="AH1165" s="1">
        <f t="shared" si="441"/>
        <v>0</v>
      </c>
      <c r="AI1165" s="1">
        <f t="shared" si="442"/>
        <v>0</v>
      </c>
      <c r="AJ1165" s="3">
        <f t="shared" si="443"/>
        <v>0.90437158469945356</v>
      </c>
      <c r="AK1165" s="3">
        <f t="shared" si="444"/>
        <v>0.46667619474359173</v>
      </c>
      <c r="AL1165" s="3">
        <f t="shared" si="445"/>
        <v>15.866990621282119</v>
      </c>
      <c r="AM1165" s="3">
        <f t="shared" si="446"/>
        <v>23.800485931923177</v>
      </c>
      <c r="AN1165" s="3">
        <f t="shared" si="447"/>
        <v>0</v>
      </c>
      <c r="AO1165" s="3">
        <f t="shared" si="448"/>
        <v>23.800485931923177</v>
      </c>
      <c r="AP1165" s="1" t="str">
        <f>INDEX({"EAD";"EAD";"EAD";"EAD MOOC";"EAD";"EAD";"EAD FP";"EAD";"PRESENCIAL";"PRESENCIAL";"PRESENCIAL";"PRESENCIAL"}, MATCH(CONCATENATE(E1165, ".", F1165),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66" spans="1:43" x14ac:dyDescent="0.25">
      <c r="A1166" s="56" t="s">
        <v>27</v>
      </c>
      <c r="B1166" s="56" t="s">
        <v>58</v>
      </c>
      <c r="C1166" s="56" t="s">
        <v>29</v>
      </c>
      <c r="D1166" s="56" t="s">
        <v>59</v>
      </c>
      <c r="E1166" s="56" t="s">
        <v>120</v>
      </c>
      <c r="F1166" s="56" t="s">
        <v>447</v>
      </c>
      <c r="G1166" s="56" t="s">
        <v>128</v>
      </c>
      <c r="H1166" s="56" t="s">
        <v>132</v>
      </c>
      <c r="I1166" s="56" t="s">
        <v>107</v>
      </c>
      <c r="J1166" s="56" t="s">
        <v>108</v>
      </c>
      <c r="K1166" s="56" t="s">
        <v>259</v>
      </c>
      <c r="L1166" s="56">
        <v>3132566</v>
      </c>
      <c r="M1166" s="56" t="s">
        <v>484</v>
      </c>
      <c r="N1166" s="57">
        <f>DATE(2024,2,5)</f>
        <v>45327</v>
      </c>
      <c r="O1166" s="57">
        <f>DATE(2026,12,31)</f>
        <v>46387</v>
      </c>
      <c r="P1166" s="57">
        <f t="shared" si="429"/>
        <v>47482</v>
      </c>
      <c r="Q1166" s="56">
        <v>1200</v>
      </c>
      <c r="R1166" s="56">
        <v>1200</v>
      </c>
      <c r="S1166" s="56">
        <f t="shared" si="430"/>
        <v>1200</v>
      </c>
      <c r="T1166" s="56">
        <v>2.5</v>
      </c>
      <c r="U1166" s="56" t="str">
        <f t="shared" si="431"/>
        <v>SIM</v>
      </c>
      <c r="V1166" s="56">
        <f t="shared" si="432"/>
        <v>1061</v>
      </c>
      <c r="W1166" s="58">
        <f t="shared" si="433"/>
        <v>1.1310084825636193</v>
      </c>
      <c r="X1166" s="58">
        <f t="shared" si="434"/>
        <v>412.81809613572102</v>
      </c>
      <c r="Y1166" s="58">
        <f t="shared" si="435"/>
        <v>0.51602262016965128</v>
      </c>
      <c r="Z1166" s="58"/>
      <c r="AA1166" s="58"/>
      <c r="AB1166" s="57">
        <f t="shared" si="436"/>
        <v>45292</v>
      </c>
      <c r="AC1166" s="57">
        <f t="shared" si="437"/>
        <v>45657</v>
      </c>
      <c r="AD1166" s="56">
        <v>56</v>
      </c>
      <c r="AE1166" s="56">
        <f t="shared" si="438"/>
        <v>0</v>
      </c>
      <c r="AF1166" s="56">
        <f t="shared" si="439"/>
        <v>331</v>
      </c>
      <c r="AG1166" s="56">
        <f t="shared" si="440"/>
        <v>0</v>
      </c>
      <c r="AH1166" s="56">
        <f t="shared" si="441"/>
        <v>0</v>
      </c>
      <c r="AI1166" s="56">
        <f t="shared" si="442"/>
        <v>0</v>
      </c>
      <c r="AJ1166" s="59">
        <f t="shared" si="443"/>
        <v>0.90437158469945356</v>
      </c>
      <c r="AK1166" s="59">
        <f t="shared" si="444"/>
        <v>0.46667619474359173</v>
      </c>
      <c r="AL1166" s="59">
        <f t="shared" si="445"/>
        <v>26.133866905641138</v>
      </c>
      <c r="AM1166" s="59">
        <f t="shared" si="446"/>
        <v>65.334667264102848</v>
      </c>
      <c r="AN1166" s="59">
        <f t="shared" si="447"/>
        <v>32.667333632051424</v>
      </c>
      <c r="AO1166" s="59">
        <f t="shared" si="448"/>
        <v>98.002000896154271</v>
      </c>
      <c r="AP1166" s="56" t="str">
        <f>INDEX({"EAD";"EAD";"EAD";"EAD MOOC";"EAD";"EAD";"EAD FP";"EAD";"PRESENCIAL";"PRESENCIAL";"PRESENCIAL";"PRESENCIAL"}, MATCH(CONCATENATE(E1166, ".", F1166),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  <c r="AQ1166" s="56"/>
    </row>
    <row r="1167" spans="1:43" x14ac:dyDescent="0.25">
      <c r="A1167" s="1" t="s">
        <v>27</v>
      </c>
      <c r="B1167" s="1" t="s">
        <v>58</v>
      </c>
      <c r="C1167" s="1" t="s">
        <v>29</v>
      </c>
      <c r="D1167" s="1" t="s">
        <v>59</v>
      </c>
      <c r="E1167" s="1" t="s">
        <v>120</v>
      </c>
      <c r="F1167" s="1" t="s">
        <v>447</v>
      </c>
      <c r="G1167" s="1" t="s">
        <v>161</v>
      </c>
      <c r="H1167" s="1" t="s">
        <v>1321</v>
      </c>
      <c r="I1167" s="1" t="s">
        <v>107</v>
      </c>
      <c r="J1167" s="1" t="s">
        <v>125</v>
      </c>
      <c r="K1167" s="1" t="s">
        <v>109</v>
      </c>
      <c r="L1167" s="1">
        <v>3123657</v>
      </c>
      <c r="M1167" s="1" t="s">
        <v>1322</v>
      </c>
      <c r="N1167" s="5">
        <f>DATE(2024,5,13)</f>
        <v>45425</v>
      </c>
      <c r="O1167" s="5">
        <f>DATE(2024,7,13)</f>
        <v>45486</v>
      </c>
      <c r="P1167" s="5">
        <f t="shared" si="429"/>
        <v>45486</v>
      </c>
      <c r="Q1167" s="1">
        <v>190</v>
      </c>
      <c r="R1167" s="1">
        <v>160</v>
      </c>
      <c r="S1167" s="1">
        <f t="shared" si="430"/>
        <v>190</v>
      </c>
      <c r="T1167" s="1">
        <v>1</v>
      </c>
      <c r="U1167" s="1" t="str">
        <f t="shared" si="431"/>
        <v>SIM</v>
      </c>
      <c r="V1167" s="1">
        <f t="shared" si="432"/>
        <v>62</v>
      </c>
      <c r="W1167" s="4">
        <f t="shared" si="433"/>
        <v>3.064516129032258</v>
      </c>
      <c r="X1167" s="4">
        <f t="shared" si="434"/>
        <v>190</v>
      </c>
      <c r="Y1167" s="4">
        <f t="shared" si="435"/>
        <v>0.23749999999999999</v>
      </c>
      <c r="AB1167" s="5">
        <f t="shared" si="436"/>
        <v>45292</v>
      </c>
      <c r="AC1167" s="5">
        <f t="shared" si="437"/>
        <v>45657</v>
      </c>
      <c r="AD1167" s="1">
        <v>29</v>
      </c>
      <c r="AE1167" s="1">
        <f t="shared" si="438"/>
        <v>0</v>
      </c>
      <c r="AF1167" s="1">
        <f t="shared" si="439"/>
        <v>0</v>
      </c>
      <c r="AG1167" s="1">
        <f t="shared" si="440"/>
        <v>0</v>
      </c>
      <c r="AH1167" s="1">
        <f t="shared" si="441"/>
        <v>62</v>
      </c>
      <c r="AI1167" s="1">
        <f t="shared" si="442"/>
        <v>0</v>
      </c>
      <c r="AJ1167" s="3">
        <f t="shared" si="443"/>
        <v>1</v>
      </c>
      <c r="AK1167" s="3">
        <f t="shared" si="444"/>
        <v>0.23749999999999999</v>
      </c>
      <c r="AL1167" s="3">
        <f t="shared" si="445"/>
        <v>6.8874999999999993</v>
      </c>
      <c r="AM1167" s="3">
        <f t="shared" si="446"/>
        <v>6.8874999999999993</v>
      </c>
      <c r="AN1167" s="3">
        <f t="shared" si="447"/>
        <v>0</v>
      </c>
      <c r="AO1167" s="3">
        <f t="shared" si="448"/>
        <v>6.8874999999999993</v>
      </c>
      <c r="AP1167" s="1" t="str">
        <f>INDEX({"EAD";"EAD";"EAD";"EAD MOOC";"EAD";"EAD";"EAD FP";"EAD";"PRESENCIAL";"PRESENCIAL";"PRESENCIAL";"PRESENCIAL"}, MATCH(CONCATENATE(E1167, ".", F1167),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68" spans="1:43" x14ac:dyDescent="0.25">
      <c r="A1168" s="1" t="s">
        <v>27</v>
      </c>
      <c r="B1168" s="1" t="s">
        <v>58</v>
      </c>
      <c r="C1168" s="1" t="s">
        <v>29</v>
      </c>
      <c r="D1168" s="1" t="s">
        <v>59</v>
      </c>
      <c r="E1168" s="1" t="s">
        <v>120</v>
      </c>
      <c r="F1168" s="1" t="s">
        <v>21</v>
      </c>
      <c r="G1168" s="1" t="s">
        <v>128</v>
      </c>
      <c r="H1168" s="1" t="s">
        <v>445</v>
      </c>
      <c r="I1168" s="1" t="s">
        <v>107</v>
      </c>
      <c r="J1168" s="1" t="s">
        <v>108</v>
      </c>
      <c r="K1168" s="1" t="s">
        <v>163</v>
      </c>
      <c r="L1168" s="1">
        <v>3167183</v>
      </c>
      <c r="M1168" s="1" t="s">
        <v>1323</v>
      </c>
      <c r="N1168" s="5">
        <f>DATE(2024,9,18)</f>
        <v>45553</v>
      </c>
      <c r="O1168" s="5">
        <f>DATE(2025,9,30)</f>
        <v>45930</v>
      </c>
      <c r="P1168" s="5">
        <f t="shared" si="429"/>
        <v>47025</v>
      </c>
      <c r="Q1168" s="1">
        <v>1224</v>
      </c>
      <c r="R1168" s="1">
        <v>1200</v>
      </c>
      <c r="S1168" s="1">
        <f t="shared" si="430"/>
        <v>1200</v>
      </c>
      <c r="T1168" s="1">
        <v>2</v>
      </c>
      <c r="U1168" s="1" t="str">
        <f t="shared" si="431"/>
        <v>SIM</v>
      </c>
      <c r="V1168" s="1">
        <f t="shared" si="432"/>
        <v>378</v>
      </c>
      <c r="W1168" s="4">
        <f t="shared" si="433"/>
        <v>3.1746031746031744</v>
      </c>
      <c r="X1168" s="4">
        <f t="shared" si="434"/>
        <v>1158.7301587301586</v>
      </c>
      <c r="Y1168" s="4">
        <f t="shared" si="435"/>
        <v>1.4484126984126982</v>
      </c>
      <c r="AB1168" s="5">
        <f t="shared" si="436"/>
        <v>45292</v>
      </c>
      <c r="AC1168" s="5">
        <f t="shared" si="437"/>
        <v>45657</v>
      </c>
      <c r="AD1168" s="1">
        <v>13</v>
      </c>
      <c r="AE1168" s="1">
        <f t="shared" si="438"/>
        <v>0</v>
      </c>
      <c r="AF1168" s="1">
        <f t="shared" si="439"/>
        <v>105</v>
      </c>
      <c r="AG1168" s="1">
        <f t="shared" si="440"/>
        <v>0</v>
      </c>
      <c r="AH1168" s="1">
        <f t="shared" si="441"/>
        <v>0</v>
      </c>
      <c r="AI1168" s="1">
        <f t="shared" si="442"/>
        <v>0</v>
      </c>
      <c r="AJ1168" s="3">
        <f t="shared" si="443"/>
        <v>0.28688524590163933</v>
      </c>
      <c r="AK1168" s="3">
        <f t="shared" si="444"/>
        <v>0.41552823315118387</v>
      </c>
      <c r="AL1168" s="3">
        <f t="shared" si="445"/>
        <v>5.4018670309653904</v>
      </c>
      <c r="AM1168" s="3">
        <f t="shared" si="446"/>
        <v>10.803734061930781</v>
      </c>
      <c r="AN1168" s="3">
        <f t="shared" si="447"/>
        <v>5.4018670309653904</v>
      </c>
      <c r="AO1168" s="3">
        <f t="shared" si="448"/>
        <v>16.20560109289617</v>
      </c>
      <c r="AP1168" s="1" t="str">
        <f>INDEX({"EAD";"EAD";"EAD";"EAD MOOC";"EAD";"EAD";"EAD FP";"EAD";"PRESENCIAL";"PRESENCIAL";"PRESENCIAL";"PRESENCIAL"}, MATCH(CONCATENATE(E1168, ".", F1168),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69" spans="1:42" x14ac:dyDescent="0.25">
      <c r="A1169" s="1" t="s">
        <v>27</v>
      </c>
      <c r="B1169" s="1" t="s">
        <v>60</v>
      </c>
      <c r="C1169" s="1" t="s">
        <v>29</v>
      </c>
      <c r="D1169" s="1" t="s">
        <v>61</v>
      </c>
      <c r="E1169" s="1" t="s">
        <v>120</v>
      </c>
      <c r="F1169" s="1" t="s">
        <v>21</v>
      </c>
      <c r="G1169" s="1" t="s">
        <v>128</v>
      </c>
      <c r="H1169" s="1" t="s">
        <v>1166</v>
      </c>
      <c r="I1169" s="1" t="s">
        <v>503</v>
      </c>
      <c r="J1169" s="1" t="s">
        <v>125</v>
      </c>
      <c r="K1169" s="1" t="s">
        <v>130</v>
      </c>
      <c r="L1169" s="1">
        <v>2480951</v>
      </c>
      <c r="M1169" s="1" t="s">
        <v>1324</v>
      </c>
      <c r="N1169" s="5">
        <f>DATE(2018,2,5)</f>
        <v>43136</v>
      </c>
      <c r="O1169" s="5">
        <f>DATE(2020,12,20)</f>
        <v>44185</v>
      </c>
      <c r="P1169" s="5">
        <f t="shared" si="429"/>
        <v>45280</v>
      </c>
      <c r="Q1169" s="1">
        <v>3758</v>
      </c>
      <c r="R1169" s="1">
        <v>1200</v>
      </c>
      <c r="S1169" s="1">
        <f t="shared" si="430"/>
        <v>3200</v>
      </c>
      <c r="T1169" s="1">
        <v>2.5</v>
      </c>
      <c r="U1169" s="1" t="str">
        <f t="shared" si="431"/>
        <v>NÃO</v>
      </c>
      <c r="V1169" s="1">
        <f t="shared" si="432"/>
        <v>1050</v>
      </c>
      <c r="W1169" s="4">
        <f t="shared" si="433"/>
        <v>3.0476190476190474</v>
      </c>
      <c r="X1169" s="4">
        <f t="shared" si="434"/>
        <v>1112.3809523809523</v>
      </c>
      <c r="Y1169" s="4">
        <f t="shared" si="435"/>
        <v>1.3904761904761904</v>
      </c>
      <c r="AB1169" s="5">
        <f t="shared" si="436"/>
        <v>45292</v>
      </c>
      <c r="AC1169" s="5">
        <f t="shared" si="437"/>
        <v>45657</v>
      </c>
      <c r="AD1169" s="1">
        <v>1</v>
      </c>
      <c r="AE1169" s="1">
        <f t="shared" si="438"/>
        <v>0</v>
      </c>
      <c r="AF1169" s="1">
        <f t="shared" si="439"/>
        <v>0</v>
      </c>
      <c r="AG1169" s="1">
        <f t="shared" si="440"/>
        <v>0</v>
      </c>
      <c r="AH1169" s="1">
        <f t="shared" si="441"/>
        <v>0</v>
      </c>
      <c r="AI1169" s="1">
        <f t="shared" si="442"/>
        <v>183</v>
      </c>
      <c r="AJ1169" s="3">
        <f t="shared" si="443"/>
        <v>0.5</v>
      </c>
      <c r="AK1169" s="3">
        <f t="shared" si="444"/>
        <v>0.69523809523809521</v>
      </c>
      <c r="AL1169" s="3">
        <f t="shared" si="445"/>
        <v>0</v>
      </c>
      <c r="AM1169" s="3">
        <f t="shared" si="446"/>
        <v>0</v>
      </c>
      <c r="AN1169" s="3">
        <f t="shared" si="447"/>
        <v>0</v>
      </c>
      <c r="AO1169" s="3">
        <f t="shared" si="448"/>
        <v>0</v>
      </c>
      <c r="AP1169" s="1" t="str">
        <f>INDEX({"EAD";"EAD";"EAD";"EAD MOOC";"EAD";"EAD";"EAD FP";"EAD";"PRESENCIAL";"PRESENCIAL";"PRESENCIAL";"PRESENCIAL"}, MATCH(CONCATENATE(E1169, ".", F1169),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70" spans="1:42" x14ac:dyDescent="0.25">
      <c r="A1170" s="1" t="s">
        <v>27</v>
      </c>
      <c r="B1170" s="1" t="s">
        <v>60</v>
      </c>
      <c r="C1170" s="1" t="s">
        <v>29</v>
      </c>
      <c r="D1170" s="1" t="s">
        <v>61</v>
      </c>
      <c r="E1170" s="1" t="s">
        <v>120</v>
      </c>
      <c r="F1170" s="1" t="s">
        <v>21</v>
      </c>
      <c r="G1170" s="1" t="s">
        <v>128</v>
      </c>
      <c r="H1170" s="1" t="s">
        <v>1133</v>
      </c>
      <c r="I1170" s="1" t="s">
        <v>503</v>
      </c>
      <c r="J1170" s="1" t="s">
        <v>125</v>
      </c>
      <c r="K1170" s="1" t="s">
        <v>130</v>
      </c>
      <c r="L1170" s="1">
        <v>2574514</v>
      </c>
      <c r="M1170" s="1" t="s">
        <v>1325</v>
      </c>
      <c r="N1170" s="5">
        <f>DATE(2019,2,4)</f>
        <v>43500</v>
      </c>
      <c r="O1170" s="5">
        <f>DATE(2021,12,23)</f>
        <v>44553</v>
      </c>
      <c r="P1170" s="5">
        <f t="shared" si="429"/>
        <v>45648</v>
      </c>
      <c r="Q1170" s="1">
        <v>3758</v>
      </c>
      <c r="R1170" s="1">
        <v>1200</v>
      </c>
      <c r="S1170" s="1">
        <f t="shared" si="430"/>
        <v>3200</v>
      </c>
      <c r="T1170" s="1">
        <v>2.5</v>
      </c>
      <c r="U1170" s="1" t="str">
        <f t="shared" si="431"/>
        <v>SIM</v>
      </c>
      <c r="V1170" s="1">
        <f t="shared" si="432"/>
        <v>1054</v>
      </c>
      <c r="W1170" s="4">
        <f t="shared" si="433"/>
        <v>3.0360531309297913</v>
      </c>
      <c r="X1170" s="4">
        <f t="shared" si="434"/>
        <v>1108.1593927893739</v>
      </c>
      <c r="Y1170" s="4">
        <f t="shared" si="435"/>
        <v>1.3851992409867173</v>
      </c>
      <c r="AB1170" s="5">
        <f t="shared" si="436"/>
        <v>45292</v>
      </c>
      <c r="AC1170" s="5">
        <f t="shared" si="437"/>
        <v>45657</v>
      </c>
      <c r="AD1170" s="1">
        <v>2</v>
      </c>
      <c r="AE1170" s="1">
        <f t="shared" si="438"/>
        <v>0</v>
      </c>
      <c r="AF1170" s="1">
        <f t="shared" si="439"/>
        <v>0</v>
      </c>
      <c r="AG1170" s="1">
        <f t="shared" si="440"/>
        <v>0</v>
      </c>
      <c r="AH1170" s="1">
        <f t="shared" si="441"/>
        <v>0</v>
      </c>
      <c r="AI1170" s="1">
        <f t="shared" si="442"/>
        <v>183</v>
      </c>
      <c r="AJ1170" s="3">
        <f t="shared" si="443"/>
        <v>0.5</v>
      </c>
      <c r="AK1170" s="3">
        <f t="shared" si="444"/>
        <v>0.69259962049335866</v>
      </c>
      <c r="AL1170" s="3">
        <f t="shared" si="445"/>
        <v>0.69259962049335866</v>
      </c>
      <c r="AM1170" s="3">
        <f t="shared" si="446"/>
        <v>1.7314990512333965</v>
      </c>
      <c r="AN1170" s="3">
        <f t="shared" si="447"/>
        <v>0</v>
      </c>
      <c r="AO1170" s="3">
        <f t="shared" si="448"/>
        <v>1.7314990512333965</v>
      </c>
      <c r="AP1170" s="1" t="str">
        <f>INDEX({"EAD";"EAD";"EAD";"EAD MOOC";"EAD";"EAD";"EAD FP";"EAD";"PRESENCIAL";"PRESENCIAL";"PRESENCIAL";"PRESENCIAL"}, MATCH(CONCATENATE(E1170, ".", F1170),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71" spans="1:42" x14ac:dyDescent="0.25">
      <c r="A1171" s="1" t="s">
        <v>27</v>
      </c>
      <c r="B1171" s="1" t="s">
        <v>60</v>
      </c>
      <c r="C1171" s="1" t="s">
        <v>29</v>
      </c>
      <c r="D1171" s="1" t="s">
        <v>61</v>
      </c>
      <c r="E1171" s="1" t="s">
        <v>120</v>
      </c>
      <c r="F1171" s="1" t="s">
        <v>21</v>
      </c>
      <c r="G1171" s="1" t="s">
        <v>128</v>
      </c>
      <c r="H1171" s="1" t="s">
        <v>1166</v>
      </c>
      <c r="I1171" s="1" t="s">
        <v>503</v>
      </c>
      <c r="J1171" s="1" t="s">
        <v>125</v>
      </c>
      <c r="K1171" s="1" t="s">
        <v>130</v>
      </c>
      <c r="L1171" s="1">
        <v>2580126</v>
      </c>
      <c r="M1171" s="1" t="s">
        <v>1326</v>
      </c>
      <c r="N1171" s="5">
        <f>DATE(2019,2,4)</f>
        <v>43500</v>
      </c>
      <c r="O1171" s="5">
        <f>DATE(2021,12,23)</f>
        <v>44553</v>
      </c>
      <c r="P1171" s="5">
        <f t="shared" si="429"/>
        <v>45648</v>
      </c>
      <c r="Q1171" s="1">
        <v>3758</v>
      </c>
      <c r="R1171" s="1">
        <v>1200</v>
      </c>
      <c r="S1171" s="1">
        <f t="shared" si="430"/>
        <v>3200</v>
      </c>
      <c r="T1171" s="1">
        <v>2.5</v>
      </c>
      <c r="U1171" s="1" t="str">
        <f t="shared" si="431"/>
        <v>SIM</v>
      </c>
      <c r="V1171" s="1">
        <f t="shared" si="432"/>
        <v>1054</v>
      </c>
      <c r="W1171" s="4">
        <f t="shared" si="433"/>
        <v>3.0360531309297913</v>
      </c>
      <c r="X1171" s="4">
        <f t="shared" si="434"/>
        <v>1108.1593927893739</v>
      </c>
      <c r="Y1171" s="4">
        <f t="shared" si="435"/>
        <v>1.3851992409867173</v>
      </c>
      <c r="AB1171" s="5">
        <f t="shared" si="436"/>
        <v>45292</v>
      </c>
      <c r="AC1171" s="5">
        <f t="shared" si="437"/>
        <v>45657</v>
      </c>
      <c r="AD1171" s="1">
        <v>2</v>
      </c>
      <c r="AE1171" s="1">
        <f t="shared" si="438"/>
        <v>0</v>
      </c>
      <c r="AF1171" s="1">
        <f t="shared" si="439"/>
        <v>0</v>
      </c>
      <c r="AG1171" s="1">
        <f t="shared" si="440"/>
        <v>0</v>
      </c>
      <c r="AH1171" s="1">
        <f t="shared" si="441"/>
        <v>0</v>
      </c>
      <c r="AI1171" s="1">
        <f t="shared" si="442"/>
        <v>183</v>
      </c>
      <c r="AJ1171" s="3">
        <f t="shared" si="443"/>
        <v>0.5</v>
      </c>
      <c r="AK1171" s="3">
        <f t="shared" si="444"/>
        <v>0.69259962049335866</v>
      </c>
      <c r="AL1171" s="3">
        <f t="shared" si="445"/>
        <v>0.69259962049335866</v>
      </c>
      <c r="AM1171" s="3">
        <f t="shared" si="446"/>
        <v>1.7314990512333965</v>
      </c>
      <c r="AN1171" s="3">
        <f t="shared" si="447"/>
        <v>0</v>
      </c>
      <c r="AO1171" s="3">
        <f t="shared" si="448"/>
        <v>1.7314990512333965</v>
      </c>
      <c r="AP1171" s="1" t="str">
        <f>INDEX({"EAD";"EAD";"EAD";"EAD MOOC";"EAD";"EAD";"EAD FP";"EAD";"PRESENCIAL";"PRESENCIAL";"PRESENCIAL";"PRESENCIAL"}, MATCH(CONCATENATE(E1171, ".", F1171),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72" spans="1:42" x14ac:dyDescent="0.25">
      <c r="A1172" s="1" t="s">
        <v>27</v>
      </c>
      <c r="B1172" s="1" t="s">
        <v>60</v>
      </c>
      <c r="C1172" s="1" t="s">
        <v>29</v>
      </c>
      <c r="D1172" s="1" t="s">
        <v>61</v>
      </c>
      <c r="E1172" s="1" t="s">
        <v>120</v>
      </c>
      <c r="F1172" s="1" t="s">
        <v>21</v>
      </c>
      <c r="G1172" s="1" t="s">
        <v>128</v>
      </c>
      <c r="H1172" s="1" t="s">
        <v>1133</v>
      </c>
      <c r="I1172" s="1" t="s">
        <v>503</v>
      </c>
      <c r="J1172" s="1" t="s">
        <v>125</v>
      </c>
      <c r="K1172" s="1" t="s">
        <v>130</v>
      </c>
      <c r="L1172" s="1">
        <v>2677459</v>
      </c>
      <c r="M1172" s="1" t="s">
        <v>1327</v>
      </c>
      <c r="N1172" s="5">
        <f>DATE(2020,2,3)</f>
        <v>43864</v>
      </c>
      <c r="O1172" s="5">
        <f>DATE(2022,12,31)</f>
        <v>44926</v>
      </c>
      <c r="P1172" s="5">
        <f t="shared" si="429"/>
        <v>46021</v>
      </c>
      <c r="Q1172" s="1">
        <v>3758</v>
      </c>
      <c r="R1172" s="1">
        <v>1200</v>
      </c>
      <c r="S1172" s="1">
        <f t="shared" si="430"/>
        <v>3200</v>
      </c>
      <c r="T1172" s="1">
        <v>2.5</v>
      </c>
      <c r="U1172" s="1" t="str">
        <f t="shared" si="431"/>
        <v>SIM</v>
      </c>
      <c r="V1172" s="1">
        <f t="shared" si="432"/>
        <v>1063</v>
      </c>
      <c r="W1172" s="4">
        <f t="shared" si="433"/>
        <v>3.0103480714957667</v>
      </c>
      <c r="X1172" s="4">
        <f t="shared" si="434"/>
        <v>1098.7770460959548</v>
      </c>
      <c r="Y1172" s="4">
        <f t="shared" si="435"/>
        <v>1.3734713076199434</v>
      </c>
      <c r="AB1172" s="5">
        <f t="shared" si="436"/>
        <v>45292</v>
      </c>
      <c r="AC1172" s="5">
        <f t="shared" si="437"/>
        <v>45657</v>
      </c>
      <c r="AD1172" s="1">
        <v>3</v>
      </c>
      <c r="AE1172" s="1">
        <f t="shared" si="438"/>
        <v>0</v>
      </c>
      <c r="AF1172" s="1">
        <f t="shared" si="439"/>
        <v>0</v>
      </c>
      <c r="AG1172" s="1">
        <f t="shared" si="440"/>
        <v>0</v>
      </c>
      <c r="AH1172" s="1">
        <f t="shared" si="441"/>
        <v>0</v>
      </c>
      <c r="AI1172" s="1">
        <f t="shared" si="442"/>
        <v>183</v>
      </c>
      <c r="AJ1172" s="3">
        <f t="shared" si="443"/>
        <v>0.5</v>
      </c>
      <c r="AK1172" s="3">
        <f t="shared" si="444"/>
        <v>0.6867356538099717</v>
      </c>
      <c r="AL1172" s="3">
        <f t="shared" si="445"/>
        <v>1.0301034807149576</v>
      </c>
      <c r="AM1172" s="3">
        <f t="shared" si="446"/>
        <v>2.5752587017873942</v>
      </c>
      <c r="AN1172" s="3">
        <f t="shared" si="447"/>
        <v>0</v>
      </c>
      <c r="AO1172" s="3">
        <f t="shared" si="448"/>
        <v>2.5752587017873942</v>
      </c>
      <c r="AP1172" s="1" t="str">
        <f>INDEX({"EAD";"EAD";"EAD";"EAD MOOC";"EAD";"EAD";"EAD FP";"EAD";"PRESENCIAL";"PRESENCIAL";"PRESENCIAL";"PRESENCIAL"}, MATCH(CONCATENATE(E1172, ".", F1172),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73" spans="1:42" x14ac:dyDescent="0.25">
      <c r="A1173" s="1" t="s">
        <v>27</v>
      </c>
      <c r="B1173" s="1" t="s">
        <v>60</v>
      </c>
      <c r="C1173" s="1" t="s">
        <v>29</v>
      </c>
      <c r="D1173" s="1" t="s">
        <v>61</v>
      </c>
      <c r="E1173" s="1" t="s">
        <v>120</v>
      </c>
      <c r="F1173" s="1" t="s">
        <v>21</v>
      </c>
      <c r="G1173" s="1" t="s">
        <v>128</v>
      </c>
      <c r="H1173" s="1" t="s">
        <v>1166</v>
      </c>
      <c r="I1173" s="1" t="s">
        <v>503</v>
      </c>
      <c r="J1173" s="1" t="s">
        <v>125</v>
      </c>
      <c r="K1173" s="1" t="s">
        <v>130</v>
      </c>
      <c r="L1173" s="1">
        <v>2677506</v>
      </c>
      <c r="M1173" s="1" t="s">
        <v>1328</v>
      </c>
      <c r="N1173" s="5">
        <f>DATE(2020,2,3)</f>
        <v>43864</v>
      </c>
      <c r="O1173" s="5">
        <f>DATE(2022,12,31)</f>
        <v>44926</v>
      </c>
      <c r="P1173" s="5">
        <f t="shared" si="429"/>
        <v>46021</v>
      </c>
      <c r="Q1173" s="1">
        <v>3758</v>
      </c>
      <c r="R1173" s="1">
        <v>1200</v>
      </c>
      <c r="S1173" s="1">
        <f t="shared" si="430"/>
        <v>3200</v>
      </c>
      <c r="T1173" s="1">
        <v>2.5</v>
      </c>
      <c r="U1173" s="1" t="str">
        <f t="shared" si="431"/>
        <v>SIM</v>
      </c>
      <c r="V1173" s="1">
        <f t="shared" si="432"/>
        <v>1063</v>
      </c>
      <c r="W1173" s="4">
        <f t="shared" si="433"/>
        <v>3.0103480714957667</v>
      </c>
      <c r="X1173" s="4">
        <f t="shared" si="434"/>
        <v>1098.7770460959548</v>
      </c>
      <c r="Y1173" s="4">
        <f t="shared" si="435"/>
        <v>1.3734713076199434</v>
      </c>
      <c r="AB1173" s="5">
        <f t="shared" si="436"/>
        <v>45292</v>
      </c>
      <c r="AC1173" s="5">
        <f t="shared" si="437"/>
        <v>45657</v>
      </c>
      <c r="AD1173" s="1">
        <v>9</v>
      </c>
      <c r="AE1173" s="1">
        <f t="shared" si="438"/>
        <v>0</v>
      </c>
      <c r="AF1173" s="1">
        <f t="shared" si="439"/>
        <v>0</v>
      </c>
      <c r="AG1173" s="1">
        <f t="shared" si="440"/>
        <v>0</v>
      </c>
      <c r="AH1173" s="1">
        <f t="shared" si="441"/>
        <v>0</v>
      </c>
      <c r="AI1173" s="1">
        <f t="shared" si="442"/>
        <v>183</v>
      </c>
      <c r="AJ1173" s="3">
        <f t="shared" si="443"/>
        <v>0.5</v>
      </c>
      <c r="AK1173" s="3">
        <f t="shared" si="444"/>
        <v>0.6867356538099717</v>
      </c>
      <c r="AL1173" s="3">
        <f t="shared" si="445"/>
        <v>3.0903104421448728</v>
      </c>
      <c r="AM1173" s="3">
        <f t="shared" si="446"/>
        <v>7.7257761053621818</v>
      </c>
      <c r="AN1173" s="3">
        <f t="shared" si="447"/>
        <v>0</v>
      </c>
      <c r="AO1173" s="3">
        <f t="shared" si="448"/>
        <v>7.7257761053621818</v>
      </c>
      <c r="AP1173" s="1" t="str">
        <f>INDEX({"EAD";"EAD";"EAD";"EAD MOOC";"EAD";"EAD";"EAD FP";"EAD";"PRESENCIAL";"PRESENCIAL";"PRESENCIAL";"PRESENCIAL"}, MATCH(CONCATENATE(E1173, ".", F1173),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74" spans="1:42" x14ac:dyDescent="0.25">
      <c r="A1174" s="1" t="s">
        <v>27</v>
      </c>
      <c r="B1174" s="1" t="s">
        <v>60</v>
      </c>
      <c r="C1174" s="1" t="s">
        <v>29</v>
      </c>
      <c r="D1174" s="1" t="s">
        <v>61</v>
      </c>
      <c r="E1174" s="1" t="s">
        <v>120</v>
      </c>
      <c r="F1174" s="1" t="s">
        <v>21</v>
      </c>
      <c r="G1174" s="1" t="s">
        <v>128</v>
      </c>
      <c r="H1174" s="1" t="s">
        <v>129</v>
      </c>
      <c r="I1174" s="1" t="s">
        <v>124</v>
      </c>
      <c r="J1174" s="1" t="s">
        <v>125</v>
      </c>
      <c r="K1174" s="1" t="s">
        <v>163</v>
      </c>
      <c r="L1174" s="1">
        <v>2749914</v>
      </c>
      <c r="M1174" s="1" t="s">
        <v>1329</v>
      </c>
      <c r="N1174" s="5">
        <f>DATE(2021,3,29)</f>
        <v>44284</v>
      </c>
      <c r="O1174" s="5">
        <f>DATE(2022,7,29)</f>
        <v>44771</v>
      </c>
      <c r="P1174" s="5">
        <f t="shared" si="429"/>
        <v>45866</v>
      </c>
      <c r="Q1174" s="1">
        <v>1020</v>
      </c>
      <c r="R1174" s="1">
        <v>800</v>
      </c>
      <c r="S1174" s="1">
        <f t="shared" si="430"/>
        <v>800</v>
      </c>
      <c r="T1174" s="1">
        <v>1</v>
      </c>
      <c r="U1174" s="1" t="str">
        <f t="shared" si="431"/>
        <v>SIM</v>
      </c>
      <c r="V1174" s="1">
        <f t="shared" si="432"/>
        <v>488</v>
      </c>
      <c r="W1174" s="4">
        <f t="shared" si="433"/>
        <v>1.639344262295082</v>
      </c>
      <c r="X1174" s="4">
        <f t="shared" si="434"/>
        <v>598.36065573770497</v>
      </c>
      <c r="Y1174" s="4">
        <f t="shared" si="435"/>
        <v>0.74795081967213117</v>
      </c>
      <c r="AB1174" s="5">
        <f t="shared" si="436"/>
        <v>45292</v>
      </c>
      <c r="AC1174" s="5">
        <f t="shared" si="437"/>
        <v>45657</v>
      </c>
      <c r="AD1174" s="1">
        <v>19</v>
      </c>
      <c r="AE1174" s="1">
        <f t="shared" si="438"/>
        <v>0</v>
      </c>
      <c r="AF1174" s="1">
        <f t="shared" si="439"/>
        <v>0</v>
      </c>
      <c r="AG1174" s="1">
        <f t="shared" si="440"/>
        <v>0</v>
      </c>
      <c r="AH1174" s="1">
        <f t="shared" si="441"/>
        <v>0</v>
      </c>
      <c r="AI1174" s="1">
        <f t="shared" si="442"/>
        <v>183</v>
      </c>
      <c r="AJ1174" s="3">
        <f t="shared" si="443"/>
        <v>0.5</v>
      </c>
      <c r="AK1174" s="3">
        <f t="shared" si="444"/>
        <v>0.37397540983606559</v>
      </c>
      <c r="AL1174" s="3">
        <f t="shared" si="445"/>
        <v>3.552766393442623</v>
      </c>
      <c r="AM1174" s="3">
        <f t="shared" si="446"/>
        <v>3.552766393442623</v>
      </c>
      <c r="AN1174" s="3">
        <f t="shared" si="447"/>
        <v>0</v>
      </c>
      <c r="AO1174" s="3">
        <f t="shared" si="448"/>
        <v>3.552766393442623</v>
      </c>
      <c r="AP1174" s="1" t="str">
        <f>INDEX({"EAD";"EAD";"EAD";"EAD MOOC";"EAD";"EAD";"EAD FP";"EAD";"PRESENCIAL";"PRESENCIAL";"PRESENCIAL";"PRESENCIAL"}, MATCH(CONCATENATE(E1174, ".", F1174),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75" spans="1:42" x14ac:dyDescent="0.25">
      <c r="A1175" s="1" t="s">
        <v>27</v>
      </c>
      <c r="B1175" s="1" t="s">
        <v>60</v>
      </c>
      <c r="C1175" s="1" t="s">
        <v>29</v>
      </c>
      <c r="D1175" s="1" t="s">
        <v>61</v>
      </c>
      <c r="E1175" s="1" t="s">
        <v>120</v>
      </c>
      <c r="F1175" s="1" t="s">
        <v>21</v>
      </c>
      <c r="G1175" s="1" t="s">
        <v>128</v>
      </c>
      <c r="H1175" s="1" t="s">
        <v>1166</v>
      </c>
      <c r="I1175" s="1" t="s">
        <v>503</v>
      </c>
      <c r="J1175" s="1" t="s">
        <v>125</v>
      </c>
      <c r="K1175" s="1" t="s">
        <v>163</v>
      </c>
      <c r="L1175" s="1">
        <v>2749918</v>
      </c>
      <c r="M1175" s="1" t="s">
        <v>1330</v>
      </c>
      <c r="N1175" s="5">
        <f>DATE(2021,3,29)</f>
        <v>44284</v>
      </c>
      <c r="O1175" s="5">
        <f>DATE(2022,7,29)</f>
        <v>44771</v>
      </c>
      <c r="P1175" s="5">
        <f t="shared" si="429"/>
        <v>45866</v>
      </c>
      <c r="Q1175" s="1">
        <v>1327</v>
      </c>
      <c r="R1175" s="1">
        <v>1200</v>
      </c>
      <c r="S1175" s="1">
        <f t="shared" si="430"/>
        <v>1200</v>
      </c>
      <c r="T1175" s="1">
        <v>2.5</v>
      </c>
      <c r="U1175" s="1" t="str">
        <f t="shared" si="431"/>
        <v>SIM</v>
      </c>
      <c r="V1175" s="1">
        <f t="shared" si="432"/>
        <v>488</v>
      </c>
      <c r="W1175" s="4">
        <f t="shared" si="433"/>
        <v>2.459016393442623</v>
      </c>
      <c r="X1175" s="4">
        <f t="shared" si="434"/>
        <v>897.54098360655735</v>
      </c>
      <c r="Y1175" s="4">
        <f t="shared" si="435"/>
        <v>1.1219262295081966</v>
      </c>
      <c r="AB1175" s="5">
        <f t="shared" si="436"/>
        <v>45292</v>
      </c>
      <c r="AC1175" s="5">
        <f t="shared" si="437"/>
        <v>45657</v>
      </c>
      <c r="AD1175" s="1">
        <v>18</v>
      </c>
      <c r="AE1175" s="1">
        <f t="shared" si="438"/>
        <v>0</v>
      </c>
      <c r="AF1175" s="1">
        <f t="shared" si="439"/>
        <v>0</v>
      </c>
      <c r="AG1175" s="1">
        <f t="shared" si="440"/>
        <v>0</v>
      </c>
      <c r="AH1175" s="1">
        <f t="shared" si="441"/>
        <v>0</v>
      </c>
      <c r="AI1175" s="1">
        <f t="shared" si="442"/>
        <v>183</v>
      </c>
      <c r="AJ1175" s="3">
        <f t="shared" si="443"/>
        <v>0.5</v>
      </c>
      <c r="AK1175" s="3">
        <f t="shared" si="444"/>
        <v>0.56096311475409832</v>
      </c>
      <c r="AL1175" s="3">
        <f t="shared" si="445"/>
        <v>5.0486680327868854</v>
      </c>
      <c r="AM1175" s="3">
        <f t="shared" si="446"/>
        <v>12.621670081967213</v>
      </c>
      <c r="AN1175" s="3">
        <f t="shared" si="447"/>
        <v>0</v>
      </c>
      <c r="AO1175" s="3">
        <f t="shared" si="448"/>
        <v>12.621670081967213</v>
      </c>
      <c r="AP1175" s="1" t="str">
        <f>INDEX({"EAD";"EAD";"EAD";"EAD MOOC";"EAD";"EAD";"EAD FP";"EAD";"PRESENCIAL";"PRESENCIAL";"PRESENCIAL";"PRESENCIAL"}, MATCH(CONCATENATE(E1175, ".", F1175),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76" spans="1:42" x14ac:dyDescent="0.25">
      <c r="A1176" s="1" t="s">
        <v>27</v>
      </c>
      <c r="B1176" s="1" t="s">
        <v>60</v>
      </c>
      <c r="C1176" s="1" t="s">
        <v>29</v>
      </c>
      <c r="D1176" s="1" t="s">
        <v>61</v>
      </c>
      <c r="E1176" s="1" t="s">
        <v>120</v>
      </c>
      <c r="F1176" s="1" t="s">
        <v>21</v>
      </c>
      <c r="G1176" s="1" t="s">
        <v>128</v>
      </c>
      <c r="H1176" s="1" t="s">
        <v>1166</v>
      </c>
      <c r="I1176" s="1" t="s">
        <v>503</v>
      </c>
      <c r="J1176" s="1" t="s">
        <v>125</v>
      </c>
      <c r="K1176" s="1" t="s">
        <v>130</v>
      </c>
      <c r="L1176" s="1">
        <v>2749921</v>
      </c>
      <c r="M1176" s="1" t="s">
        <v>1331</v>
      </c>
      <c r="N1176" s="5">
        <f>DATE(2021,3,29)</f>
        <v>44284</v>
      </c>
      <c r="O1176" s="5">
        <f>DATE(2023,12,29)</f>
        <v>45289</v>
      </c>
      <c r="P1176" s="5">
        <f t="shared" si="429"/>
        <v>46384</v>
      </c>
      <c r="Q1176" s="1">
        <v>3758</v>
      </c>
      <c r="R1176" s="1">
        <v>1200</v>
      </c>
      <c r="S1176" s="1">
        <f t="shared" si="430"/>
        <v>3200</v>
      </c>
      <c r="T1176" s="1">
        <v>2.5</v>
      </c>
      <c r="U1176" s="1" t="str">
        <f t="shared" si="431"/>
        <v>SIM</v>
      </c>
      <c r="V1176" s="1">
        <f t="shared" si="432"/>
        <v>1006</v>
      </c>
      <c r="W1176" s="4">
        <f t="shared" si="433"/>
        <v>3.1809145129224654</v>
      </c>
      <c r="X1176" s="4">
        <f t="shared" si="434"/>
        <v>1161.0337972166999</v>
      </c>
      <c r="Y1176" s="4">
        <f t="shared" si="435"/>
        <v>1.4512922465208749</v>
      </c>
      <c r="AB1176" s="5">
        <f t="shared" si="436"/>
        <v>45292</v>
      </c>
      <c r="AC1176" s="5">
        <f t="shared" si="437"/>
        <v>45657</v>
      </c>
      <c r="AD1176" s="1">
        <v>24</v>
      </c>
      <c r="AE1176" s="1">
        <f t="shared" si="438"/>
        <v>0</v>
      </c>
      <c r="AF1176" s="1">
        <f t="shared" si="439"/>
        <v>0</v>
      </c>
      <c r="AG1176" s="1">
        <f t="shared" si="440"/>
        <v>0</v>
      </c>
      <c r="AH1176" s="1">
        <f t="shared" si="441"/>
        <v>0</v>
      </c>
      <c r="AI1176" s="1">
        <f t="shared" si="442"/>
        <v>183</v>
      </c>
      <c r="AJ1176" s="3">
        <f t="shared" si="443"/>
        <v>0.5</v>
      </c>
      <c r="AK1176" s="3">
        <f t="shared" si="444"/>
        <v>0.72564612326043743</v>
      </c>
      <c r="AL1176" s="3">
        <f t="shared" si="445"/>
        <v>8.7077534791252482</v>
      </c>
      <c r="AM1176" s="3">
        <f t="shared" si="446"/>
        <v>21.769383697813119</v>
      </c>
      <c r="AN1176" s="3">
        <f t="shared" si="447"/>
        <v>0</v>
      </c>
      <c r="AO1176" s="3">
        <f t="shared" si="448"/>
        <v>21.769383697813119</v>
      </c>
      <c r="AP1176" s="1" t="str">
        <f>INDEX({"EAD";"EAD";"EAD";"EAD MOOC";"EAD";"EAD";"EAD FP";"EAD";"PRESENCIAL";"PRESENCIAL";"PRESENCIAL";"PRESENCIAL"}, MATCH(CONCATENATE(E1176, ".", F1176),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77" spans="1:42" x14ac:dyDescent="0.25">
      <c r="A1177" s="1" t="s">
        <v>27</v>
      </c>
      <c r="B1177" s="1" t="s">
        <v>60</v>
      </c>
      <c r="C1177" s="1" t="s">
        <v>29</v>
      </c>
      <c r="D1177" s="1" t="s">
        <v>61</v>
      </c>
      <c r="E1177" s="1" t="s">
        <v>120</v>
      </c>
      <c r="F1177" s="1" t="s">
        <v>21</v>
      </c>
      <c r="G1177" s="1" t="s">
        <v>128</v>
      </c>
      <c r="H1177" s="1" t="s">
        <v>1133</v>
      </c>
      <c r="I1177" s="1" t="s">
        <v>503</v>
      </c>
      <c r="J1177" s="1" t="s">
        <v>125</v>
      </c>
      <c r="K1177" s="1" t="s">
        <v>130</v>
      </c>
      <c r="L1177" s="1">
        <v>2749925</v>
      </c>
      <c r="M1177" s="1" t="s">
        <v>1332</v>
      </c>
      <c r="N1177" s="5">
        <f>DATE(2021,3,29)</f>
        <v>44284</v>
      </c>
      <c r="O1177" s="5">
        <f>DATE(2023,12,29)</f>
        <v>45289</v>
      </c>
      <c r="P1177" s="5">
        <f t="shared" si="429"/>
        <v>46384</v>
      </c>
      <c r="Q1177" s="1">
        <v>3758</v>
      </c>
      <c r="R1177" s="1">
        <v>1200</v>
      </c>
      <c r="S1177" s="1">
        <f t="shared" si="430"/>
        <v>3200</v>
      </c>
      <c r="T1177" s="1">
        <v>2.5</v>
      </c>
      <c r="U1177" s="1" t="str">
        <f t="shared" si="431"/>
        <v>SIM</v>
      </c>
      <c r="V1177" s="1">
        <f t="shared" si="432"/>
        <v>1006</v>
      </c>
      <c r="W1177" s="4">
        <f t="shared" si="433"/>
        <v>3.1809145129224654</v>
      </c>
      <c r="X1177" s="4">
        <f t="shared" si="434"/>
        <v>1161.0337972166999</v>
      </c>
      <c r="Y1177" s="4">
        <f t="shared" si="435"/>
        <v>1.4512922465208749</v>
      </c>
      <c r="AB1177" s="5">
        <f t="shared" si="436"/>
        <v>45292</v>
      </c>
      <c r="AC1177" s="5">
        <f t="shared" si="437"/>
        <v>45657</v>
      </c>
      <c r="AD1177" s="1">
        <v>28</v>
      </c>
      <c r="AE1177" s="1">
        <f t="shared" si="438"/>
        <v>0</v>
      </c>
      <c r="AF1177" s="1">
        <f t="shared" si="439"/>
        <v>0</v>
      </c>
      <c r="AG1177" s="1">
        <f t="shared" si="440"/>
        <v>0</v>
      </c>
      <c r="AH1177" s="1">
        <f t="shared" si="441"/>
        <v>0</v>
      </c>
      <c r="AI1177" s="1">
        <f t="shared" si="442"/>
        <v>183</v>
      </c>
      <c r="AJ1177" s="3">
        <f t="shared" si="443"/>
        <v>0.5</v>
      </c>
      <c r="AK1177" s="3">
        <f t="shared" si="444"/>
        <v>0.72564612326043743</v>
      </c>
      <c r="AL1177" s="3">
        <f t="shared" si="445"/>
        <v>10.159045725646124</v>
      </c>
      <c r="AM1177" s="3">
        <f t="shared" si="446"/>
        <v>25.397614314115309</v>
      </c>
      <c r="AN1177" s="3">
        <f t="shared" si="447"/>
        <v>0</v>
      </c>
      <c r="AO1177" s="3">
        <f t="shared" si="448"/>
        <v>25.397614314115309</v>
      </c>
      <c r="AP1177" s="1" t="str">
        <f>INDEX({"EAD";"EAD";"EAD";"EAD MOOC";"EAD";"EAD";"EAD FP";"EAD";"PRESENCIAL";"PRESENCIAL";"PRESENCIAL";"PRESENCIAL"}, MATCH(CONCATENATE(E1177, ".", F1177),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78" spans="1:42" x14ac:dyDescent="0.25">
      <c r="A1178" s="1" t="s">
        <v>27</v>
      </c>
      <c r="B1178" s="1" t="s">
        <v>60</v>
      </c>
      <c r="C1178" s="1" t="s">
        <v>29</v>
      </c>
      <c r="D1178" s="1" t="s">
        <v>61</v>
      </c>
      <c r="E1178" s="1" t="s">
        <v>120</v>
      </c>
      <c r="F1178" s="1" t="s">
        <v>21</v>
      </c>
      <c r="G1178" s="1" t="s">
        <v>128</v>
      </c>
      <c r="H1178" s="1" t="s">
        <v>129</v>
      </c>
      <c r="I1178" s="1" t="s">
        <v>124</v>
      </c>
      <c r="J1178" s="1" t="s">
        <v>125</v>
      </c>
      <c r="K1178" s="1" t="s">
        <v>163</v>
      </c>
      <c r="L1178" s="1">
        <v>2798189</v>
      </c>
      <c r="M1178" s="1" t="s">
        <v>1333</v>
      </c>
      <c r="N1178" s="5">
        <f>DATE(2021,8,11)</f>
        <v>44419</v>
      </c>
      <c r="O1178" s="5">
        <f>DATE(2022,12,31)</f>
        <v>44926</v>
      </c>
      <c r="P1178" s="5">
        <f t="shared" si="429"/>
        <v>46021</v>
      </c>
      <c r="Q1178" s="1">
        <v>1020</v>
      </c>
      <c r="R1178" s="1">
        <v>800</v>
      </c>
      <c r="S1178" s="1">
        <f t="shared" si="430"/>
        <v>800</v>
      </c>
      <c r="T1178" s="1">
        <v>1</v>
      </c>
      <c r="U1178" s="1" t="str">
        <f t="shared" si="431"/>
        <v>SIM</v>
      </c>
      <c r="V1178" s="1">
        <f t="shared" si="432"/>
        <v>508</v>
      </c>
      <c r="W1178" s="4">
        <f t="shared" si="433"/>
        <v>1.5748031496062993</v>
      </c>
      <c r="X1178" s="4">
        <f t="shared" si="434"/>
        <v>574.80314960629926</v>
      </c>
      <c r="Y1178" s="4">
        <f t="shared" si="435"/>
        <v>0.71850393700787407</v>
      </c>
      <c r="AB1178" s="5">
        <f t="shared" si="436"/>
        <v>45292</v>
      </c>
      <c r="AC1178" s="5">
        <f t="shared" si="437"/>
        <v>45657</v>
      </c>
      <c r="AD1178" s="1">
        <v>25</v>
      </c>
      <c r="AE1178" s="1">
        <f t="shared" si="438"/>
        <v>0</v>
      </c>
      <c r="AF1178" s="1">
        <f t="shared" si="439"/>
        <v>0</v>
      </c>
      <c r="AG1178" s="1">
        <f t="shared" si="440"/>
        <v>0</v>
      </c>
      <c r="AH1178" s="1">
        <f t="shared" si="441"/>
        <v>0</v>
      </c>
      <c r="AI1178" s="1">
        <f t="shared" si="442"/>
        <v>183</v>
      </c>
      <c r="AJ1178" s="3">
        <f t="shared" si="443"/>
        <v>0.5</v>
      </c>
      <c r="AK1178" s="3">
        <f t="shared" si="444"/>
        <v>0.35925196850393704</v>
      </c>
      <c r="AL1178" s="3">
        <f t="shared" si="445"/>
        <v>4.4906496062992129</v>
      </c>
      <c r="AM1178" s="3">
        <f t="shared" si="446"/>
        <v>4.4906496062992129</v>
      </c>
      <c r="AN1178" s="3">
        <f t="shared" si="447"/>
        <v>0</v>
      </c>
      <c r="AO1178" s="3">
        <f t="shared" si="448"/>
        <v>4.4906496062992129</v>
      </c>
      <c r="AP1178" s="1" t="str">
        <f>INDEX({"EAD";"EAD";"EAD";"EAD MOOC";"EAD";"EAD";"EAD FP";"EAD";"PRESENCIAL";"PRESENCIAL";"PRESENCIAL";"PRESENCIAL"}, MATCH(CONCATENATE(E1178, ".", F1178),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79" spans="1:42" x14ac:dyDescent="0.25">
      <c r="A1179" s="1" t="s">
        <v>27</v>
      </c>
      <c r="B1179" s="1" t="s">
        <v>60</v>
      </c>
      <c r="C1179" s="1" t="s">
        <v>29</v>
      </c>
      <c r="D1179" s="1" t="s">
        <v>61</v>
      </c>
      <c r="E1179" s="1" t="s">
        <v>120</v>
      </c>
      <c r="F1179" s="1" t="s">
        <v>21</v>
      </c>
      <c r="G1179" s="1" t="s">
        <v>128</v>
      </c>
      <c r="H1179" s="1" t="s">
        <v>1133</v>
      </c>
      <c r="I1179" s="1" t="s">
        <v>503</v>
      </c>
      <c r="J1179" s="1" t="s">
        <v>125</v>
      </c>
      <c r="K1179" s="1" t="s">
        <v>130</v>
      </c>
      <c r="L1179" s="1">
        <v>2837487</v>
      </c>
      <c r="M1179" s="1" t="s">
        <v>1334</v>
      </c>
      <c r="N1179" s="5">
        <f>DATE(2022,2,1)</f>
        <v>44593</v>
      </c>
      <c r="O1179" s="5">
        <f>DATE(2024,12,24)</f>
        <v>45650</v>
      </c>
      <c r="P1179" s="5">
        <f t="shared" si="429"/>
        <v>46745</v>
      </c>
      <c r="Q1179" s="1">
        <v>3758</v>
      </c>
      <c r="R1179" s="1">
        <v>1200</v>
      </c>
      <c r="S1179" s="1">
        <f t="shared" si="430"/>
        <v>3200</v>
      </c>
      <c r="T1179" s="1">
        <v>2.5</v>
      </c>
      <c r="U1179" s="1" t="str">
        <f t="shared" si="431"/>
        <v>SIM</v>
      </c>
      <c r="V1179" s="1">
        <f t="shared" si="432"/>
        <v>1058</v>
      </c>
      <c r="W1179" s="4">
        <f t="shared" si="433"/>
        <v>3.0245746691871456</v>
      </c>
      <c r="X1179" s="4">
        <f t="shared" si="434"/>
        <v>1103.9697542533081</v>
      </c>
      <c r="Y1179" s="4">
        <f t="shared" si="435"/>
        <v>1.3799621928166352</v>
      </c>
      <c r="AB1179" s="5">
        <f t="shared" si="436"/>
        <v>45292</v>
      </c>
      <c r="AC1179" s="5">
        <f t="shared" si="437"/>
        <v>45657</v>
      </c>
      <c r="AD1179" s="1">
        <v>36</v>
      </c>
      <c r="AE1179" s="1">
        <f t="shared" si="438"/>
        <v>0</v>
      </c>
      <c r="AF1179" s="1">
        <f t="shared" si="439"/>
        <v>0</v>
      </c>
      <c r="AG1179" s="1">
        <f t="shared" si="440"/>
        <v>359</v>
      </c>
      <c r="AH1179" s="1">
        <f t="shared" si="441"/>
        <v>0</v>
      </c>
      <c r="AI1179" s="1">
        <f t="shared" si="442"/>
        <v>0</v>
      </c>
      <c r="AJ1179" s="3">
        <f t="shared" si="443"/>
        <v>0.98087431693989069</v>
      </c>
      <c r="AK1179" s="3">
        <f t="shared" si="444"/>
        <v>1.3535694732818908</v>
      </c>
      <c r="AL1179" s="3">
        <f t="shared" si="445"/>
        <v>48.728501038148067</v>
      </c>
      <c r="AM1179" s="3">
        <f t="shared" si="446"/>
        <v>121.82125259537017</v>
      </c>
      <c r="AN1179" s="3">
        <f t="shared" si="447"/>
        <v>0</v>
      </c>
      <c r="AO1179" s="3">
        <f t="shared" si="448"/>
        <v>121.82125259537017</v>
      </c>
      <c r="AP1179" s="1" t="str">
        <f>INDEX({"EAD";"EAD";"EAD";"EAD MOOC";"EAD";"EAD";"EAD FP";"EAD";"PRESENCIAL";"PRESENCIAL";"PRESENCIAL";"PRESENCIAL"}, MATCH(CONCATENATE(E1179, ".", F1179),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80" spans="1:42" x14ac:dyDescent="0.25">
      <c r="A1180" s="1" t="s">
        <v>27</v>
      </c>
      <c r="B1180" s="1" t="s">
        <v>60</v>
      </c>
      <c r="C1180" s="1" t="s">
        <v>29</v>
      </c>
      <c r="D1180" s="1" t="s">
        <v>61</v>
      </c>
      <c r="E1180" s="1" t="s">
        <v>120</v>
      </c>
      <c r="F1180" s="1" t="s">
        <v>21</v>
      </c>
      <c r="G1180" s="1" t="s">
        <v>128</v>
      </c>
      <c r="H1180" s="1" t="s">
        <v>1166</v>
      </c>
      <c r="I1180" s="1" t="s">
        <v>503</v>
      </c>
      <c r="J1180" s="1" t="s">
        <v>125</v>
      </c>
      <c r="K1180" s="1" t="s">
        <v>130</v>
      </c>
      <c r="L1180" s="1">
        <v>2837681</v>
      </c>
      <c r="M1180" s="1" t="s">
        <v>1335</v>
      </c>
      <c r="N1180" s="5">
        <f>DATE(2022,2,1)</f>
        <v>44593</v>
      </c>
      <c r="O1180" s="5">
        <f>DATE(2024,12,24)</f>
        <v>45650</v>
      </c>
      <c r="P1180" s="5">
        <f t="shared" si="429"/>
        <v>46745</v>
      </c>
      <c r="Q1180" s="1">
        <v>3758</v>
      </c>
      <c r="R1180" s="1">
        <v>1200</v>
      </c>
      <c r="S1180" s="1">
        <f t="shared" si="430"/>
        <v>3200</v>
      </c>
      <c r="T1180" s="1">
        <v>2.5</v>
      </c>
      <c r="U1180" s="1" t="str">
        <f t="shared" si="431"/>
        <v>SIM</v>
      </c>
      <c r="V1180" s="1">
        <f t="shared" si="432"/>
        <v>1058</v>
      </c>
      <c r="W1180" s="4">
        <f t="shared" si="433"/>
        <v>3.0245746691871456</v>
      </c>
      <c r="X1180" s="4">
        <f t="shared" si="434"/>
        <v>1103.9697542533081</v>
      </c>
      <c r="Y1180" s="4">
        <f t="shared" si="435"/>
        <v>1.3799621928166352</v>
      </c>
      <c r="AB1180" s="5">
        <f t="shared" si="436"/>
        <v>45292</v>
      </c>
      <c r="AC1180" s="5">
        <f t="shared" si="437"/>
        <v>45657</v>
      </c>
      <c r="AD1180" s="1">
        <v>31</v>
      </c>
      <c r="AE1180" s="1">
        <f t="shared" si="438"/>
        <v>0</v>
      </c>
      <c r="AF1180" s="1">
        <f t="shared" si="439"/>
        <v>0</v>
      </c>
      <c r="AG1180" s="1">
        <f t="shared" si="440"/>
        <v>359</v>
      </c>
      <c r="AH1180" s="1">
        <f t="shared" si="441"/>
        <v>0</v>
      </c>
      <c r="AI1180" s="1">
        <f t="shared" si="442"/>
        <v>0</v>
      </c>
      <c r="AJ1180" s="3">
        <f t="shared" si="443"/>
        <v>0.98087431693989069</v>
      </c>
      <c r="AK1180" s="3">
        <f t="shared" si="444"/>
        <v>1.3535694732818908</v>
      </c>
      <c r="AL1180" s="3">
        <f t="shared" si="445"/>
        <v>41.960653671738612</v>
      </c>
      <c r="AM1180" s="3">
        <f t="shared" si="446"/>
        <v>104.90163417934653</v>
      </c>
      <c r="AN1180" s="3">
        <f t="shared" si="447"/>
        <v>0</v>
      </c>
      <c r="AO1180" s="3">
        <f t="shared" si="448"/>
        <v>104.90163417934653</v>
      </c>
      <c r="AP1180" s="1" t="str">
        <f>INDEX({"EAD";"EAD";"EAD";"EAD MOOC";"EAD";"EAD";"EAD FP";"EAD";"PRESENCIAL";"PRESENCIAL";"PRESENCIAL";"PRESENCIAL"}, MATCH(CONCATENATE(E1180, ".", F1180),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81" spans="1:42" x14ac:dyDescent="0.25">
      <c r="A1181" s="1" t="s">
        <v>27</v>
      </c>
      <c r="B1181" s="1" t="s">
        <v>60</v>
      </c>
      <c r="C1181" s="1" t="s">
        <v>29</v>
      </c>
      <c r="D1181" s="1" t="s">
        <v>61</v>
      </c>
      <c r="E1181" s="1" t="s">
        <v>120</v>
      </c>
      <c r="F1181" s="1" t="s">
        <v>21</v>
      </c>
      <c r="G1181" s="1" t="s">
        <v>128</v>
      </c>
      <c r="H1181" s="1" t="s">
        <v>129</v>
      </c>
      <c r="I1181" s="1" t="s">
        <v>124</v>
      </c>
      <c r="J1181" s="1" t="s">
        <v>125</v>
      </c>
      <c r="K1181" s="1" t="s">
        <v>163</v>
      </c>
      <c r="L1181" s="1">
        <v>2837691</v>
      </c>
      <c r="M1181" s="1" t="s">
        <v>1336</v>
      </c>
      <c r="N1181" s="5">
        <f>DATE(2022,2,1)</f>
        <v>44593</v>
      </c>
      <c r="O1181" s="5">
        <f>DATE(2023,7,29)</f>
        <v>45136</v>
      </c>
      <c r="P1181" s="5">
        <f t="shared" si="429"/>
        <v>46231</v>
      </c>
      <c r="Q1181" s="1">
        <v>1020</v>
      </c>
      <c r="R1181" s="1">
        <v>800</v>
      </c>
      <c r="S1181" s="1">
        <f t="shared" si="430"/>
        <v>800</v>
      </c>
      <c r="T1181" s="1">
        <v>1</v>
      </c>
      <c r="U1181" s="1" t="str">
        <f t="shared" si="431"/>
        <v>SIM</v>
      </c>
      <c r="V1181" s="1">
        <f t="shared" si="432"/>
        <v>544</v>
      </c>
      <c r="W1181" s="4">
        <f t="shared" si="433"/>
        <v>1.4705882352941178</v>
      </c>
      <c r="X1181" s="4">
        <f t="shared" si="434"/>
        <v>536.76470588235293</v>
      </c>
      <c r="Y1181" s="4">
        <f t="shared" si="435"/>
        <v>0.67095588235294112</v>
      </c>
      <c r="AB1181" s="5">
        <f t="shared" si="436"/>
        <v>45292</v>
      </c>
      <c r="AC1181" s="5">
        <f t="shared" si="437"/>
        <v>45657</v>
      </c>
      <c r="AD1181" s="1">
        <v>19</v>
      </c>
      <c r="AE1181" s="1">
        <f t="shared" si="438"/>
        <v>0</v>
      </c>
      <c r="AF1181" s="1">
        <f t="shared" si="439"/>
        <v>0</v>
      </c>
      <c r="AG1181" s="1">
        <f t="shared" si="440"/>
        <v>0</v>
      </c>
      <c r="AH1181" s="1">
        <f t="shared" si="441"/>
        <v>0</v>
      </c>
      <c r="AI1181" s="1">
        <f t="shared" si="442"/>
        <v>183</v>
      </c>
      <c r="AJ1181" s="3">
        <f t="shared" si="443"/>
        <v>0.5</v>
      </c>
      <c r="AK1181" s="3">
        <f t="shared" si="444"/>
        <v>0.33547794117647056</v>
      </c>
      <c r="AL1181" s="3">
        <f t="shared" si="445"/>
        <v>3.1870404411764701</v>
      </c>
      <c r="AM1181" s="3">
        <f t="shared" si="446"/>
        <v>3.1870404411764701</v>
      </c>
      <c r="AN1181" s="3">
        <f t="shared" si="447"/>
        <v>0</v>
      </c>
      <c r="AO1181" s="3">
        <f t="shared" si="448"/>
        <v>3.1870404411764701</v>
      </c>
      <c r="AP1181" s="1" t="str">
        <f>INDEX({"EAD";"EAD";"EAD";"EAD MOOC";"EAD";"EAD";"EAD FP";"EAD";"PRESENCIAL";"PRESENCIAL";"PRESENCIAL";"PRESENCIAL"}, MATCH(CONCATENATE(E1181, ".", F1181),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82" spans="1:42" x14ac:dyDescent="0.25">
      <c r="A1182" s="1" t="s">
        <v>27</v>
      </c>
      <c r="B1182" s="1" t="s">
        <v>60</v>
      </c>
      <c r="C1182" s="1" t="s">
        <v>29</v>
      </c>
      <c r="D1182" s="1" t="s">
        <v>61</v>
      </c>
      <c r="E1182" s="1" t="s">
        <v>120</v>
      </c>
      <c r="F1182" s="1" t="s">
        <v>21</v>
      </c>
      <c r="G1182" s="1" t="s">
        <v>128</v>
      </c>
      <c r="H1182" s="1" t="s">
        <v>1166</v>
      </c>
      <c r="I1182" s="1" t="s">
        <v>503</v>
      </c>
      <c r="J1182" s="1" t="s">
        <v>125</v>
      </c>
      <c r="K1182" s="1" t="s">
        <v>163</v>
      </c>
      <c r="L1182" s="1">
        <v>2837693</v>
      </c>
      <c r="M1182" s="1" t="s">
        <v>1337</v>
      </c>
      <c r="N1182" s="5">
        <f>DATE(2022,2,1)</f>
        <v>44593</v>
      </c>
      <c r="O1182" s="5">
        <f>DATE(2023,7,30)</f>
        <v>45137</v>
      </c>
      <c r="P1182" s="5">
        <f t="shared" si="429"/>
        <v>46232</v>
      </c>
      <c r="Q1182" s="1">
        <v>1327</v>
      </c>
      <c r="R1182" s="1">
        <v>1200</v>
      </c>
      <c r="S1182" s="1">
        <f t="shared" si="430"/>
        <v>1200</v>
      </c>
      <c r="T1182" s="1">
        <v>2.5</v>
      </c>
      <c r="U1182" s="1" t="str">
        <f t="shared" si="431"/>
        <v>SIM</v>
      </c>
      <c r="V1182" s="1">
        <f t="shared" si="432"/>
        <v>545</v>
      </c>
      <c r="W1182" s="4">
        <f t="shared" si="433"/>
        <v>2.2018348623853212</v>
      </c>
      <c r="X1182" s="4">
        <f t="shared" si="434"/>
        <v>803.66972477064223</v>
      </c>
      <c r="Y1182" s="4">
        <f t="shared" si="435"/>
        <v>1.0045871559633028</v>
      </c>
      <c r="AB1182" s="5">
        <f t="shared" si="436"/>
        <v>45292</v>
      </c>
      <c r="AC1182" s="5">
        <f t="shared" si="437"/>
        <v>45657</v>
      </c>
      <c r="AD1182" s="1">
        <v>9</v>
      </c>
      <c r="AE1182" s="1">
        <f t="shared" si="438"/>
        <v>0</v>
      </c>
      <c r="AF1182" s="1">
        <f t="shared" si="439"/>
        <v>0</v>
      </c>
      <c r="AG1182" s="1">
        <f t="shared" si="440"/>
        <v>0</v>
      </c>
      <c r="AH1182" s="1">
        <f t="shared" si="441"/>
        <v>0</v>
      </c>
      <c r="AI1182" s="1">
        <f t="shared" si="442"/>
        <v>183</v>
      </c>
      <c r="AJ1182" s="3">
        <f t="shared" si="443"/>
        <v>0.5</v>
      </c>
      <c r="AK1182" s="3">
        <f t="shared" si="444"/>
        <v>0.50229357798165142</v>
      </c>
      <c r="AL1182" s="3">
        <f t="shared" si="445"/>
        <v>2.2603211009174315</v>
      </c>
      <c r="AM1182" s="3">
        <f t="shared" si="446"/>
        <v>5.6508027522935791</v>
      </c>
      <c r="AN1182" s="3">
        <f t="shared" si="447"/>
        <v>0</v>
      </c>
      <c r="AO1182" s="3">
        <f t="shared" si="448"/>
        <v>5.6508027522935791</v>
      </c>
      <c r="AP1182" s="1" t="str">
        <f>INDEX({"EAD";"EAD";"EAD";"EAD MOOC";"EAD";"EAD";"EAD FP";"EAD";"PRESENCIAL";"PRESENCIAL";"PRESENCIAL";"PRESENCIAL"}, MATCH(CONCATENATE(E1182, ".", F1182),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83" spans="1:42" x14ac:dyDescent="0.25">
      <c r="A1183" s="1" t="s">
        <v>27</v>
      </c>
      <c r="B1183" s="1" t="s">
        <v>60</v>
      </c>
      <c r="C1183" s="1" t="s">
        <v>29</v>
      </c>
      <c r="D1183" s="1" t="s">
        <v>61</v>
      </c>
      <c r="E1183" s="1" t="s">
        <v>170</v>
      </c>
      <c r="F1183" s="1" t="s">
        <v>21</v>
      </c>
      <c r="G1183" s="1" t="s">
        <v>178</v>
      </c>
      <c r="H1183" s="1" t="s">
        <v>1338</v>
      </c>
      <c r="I1183" s="1" t="s">
        <v>449</v>
      </c>
      <c r="J1183" s="1" t="s">
        <v>125</v>
      </c>
      <c r="K1183" s="1" t="s">
        <v>109</v>
      </c>
      <c r="L1183" s="1">
        <v>2851786</v>
      </c>
      <c r="M1183" s="1" t="s">
        <v>1339</v>
      </c>
      <c r="N1183" s="5">
        <f>DATE(2022,3,15)</f>
        <v>44635</v>
      </c>
      <c r="O1183" s="5">
        <f>DATE(2023,3,15)</f>
        <v>45000</v>
      </c>
      <c r="P1183" s="5">
        <f t="shared" si="429"/>
        <v>46095</v>
      </c>
      <c r="Q1183" s="1">
        <v>460</v>
      </c>
      <c r="R1183" s="1">
        <v>360</v>
      </c>
      <c r="S1183" s="1">
        <f t="shared" si="430"/>
        <v>360</v>
      </c>
      <c r="T1183" s="1">
        <v>2.5</v>
      </c>
      <c r="U1183" s="1" t="str">
        <f t="shared" si="431"/>
        <v>SIM</v>
      </c>
      <c r="V1183" s="1">
        <f t="shared" si="432"/>
        <v>366</v>
      </c>
      <c r="W1183" s="4">
        <f t="shared" si="433"/>
        <v>0.98360655737704916</v>
      </c>
      <c r="X1183" s="4">
        <f t="shared" si="434"/>
        <v>359.01639344262293</v>
      </c>
      <c r="Y1183" s="4">
        <f t="shared" si="435"/>
        <v>0.44877049180327866</v>
      </c>
      <c r="AB1183" s="5">
        <f t="shared" si="436"/>
        <v>45292</v>
      </c>
      <c r="AC1183" s="5">
        <f t="shared" si="437"/>
        <v>45657</v>
      </c>
      <c r="AD1183" s="1">
        <v>2</v>
      </c>
      <c r="AE1183" s="1">
        <f t="shared" si="438"/>
        <v>0</v>
      </c>
      <c r="AF1183" s="1">
        <f t="shared" si="439"/>
        <v>0</v>
      </c>
      <c r="AG1183" s="1">
        <f t="shared" si="440"/>
        <v>0</v>
      </c>
      <c r="AH1183" s="1">
        <f t="shared" si="441"/>
        <v>0</v>
      </c>
      <c r="AI1183" s="1">
        <f t="shared" si="442"/>
        <v>183</v>
      </c>
      <c r="AJ1183" s="3">
        <f t="shared" si="443"/>
        <v>0.5</v>
      </c>
      <c r="AK1183" s="3">
        <f t="shared" si="444"/>
        <v>0.22438524590163933</v>
      </c>
      <c r="AL1183" s="3">
        <f t="shared" si="445"/>
        <v>0.22438524590163933</v>
      </c>
      <c r="AM1183" s="3">
        <f t="shared" si="446"/>
        <v>0.56096311475409832</v>
      </c>
      <c r="AN1183" s="3">
        <f t="shared" si="447"/>
        <v>0</v>
      </c>
      <c r="AO1183" s="3">
        <f t="shared" si="448"/>
        <v>0.56096311475409832</v>
      </c>
      <c r="AP1183" s="1" t="str">
        <f>INDEX({"EAD";"EAD";"EAD";"EAD MOOC";"EAD";"EAD";"EAD FP";"EAD";"PRESENCIAL";"PRESENCIAL";"PRESENCIAL";"PRESENCIAL"}, MATCH(CONCATENATE(E1183, ".", F1183),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184" spans="1:42" x14ac:dyDescent="0.25">
      <c r="A1184" s="1" t="s">
        <v>27</v>
      </c>
      <c r="B1184" s="1" t="s">
        <v>60</v>
      </c>
      <c r="C1184" s="1" t="s">
        <v>29</v>
      </c>
      <c r="D1184" s="1" t="s">
        <v>61</v>
      </c>
      <c r="E1184" s="1" t="s">
        <v>120</v>
      </c>
      <c r="F1184" s="1" t="s">
        <v>21</v>
      </c>
      <c r="G1184" s="1" t="s">
        <v>128</v>
      </c>
      <c r="H1184" s="1" t="s">
        <v>129</v>
      </c>
      <c r="I1184" s="1" t="s">
        <v>124</v>
      </c>
      <c r="J1184" s="1" t="s">
        <v>125</v>
      </c>
      <c r="K1184" s="1" t="s">
        <v>163</v>
      </c>
      <c r="L1184" s="1">
        <v>2885873</v>
      </c>
      <c r="M1184" s="1" t="s">
        <v>1340</v>
      </c>
      <c r="N1184" s="5">
        <f>DATE(2022,7,25)</f>
        <v>44767</v>
      </c>
      <c r="O1184" s="5">
        <f>DATE(2024,1,25)</f>
        <v>45316</v>
      </c>
      <c r="P1184" s="5">
        <f t="shared" si="429"/>
        <v>46411</v>
      </c>
      <c r="Q1184" s="1">
        <v>1020</v>
      </c>
      <c r="R1184" s="1">
        <v>800</v>
      </c>
      <c r="S1184" s="1">
        <f t="shared" si="430"/>
        <v>800</v>
      </c>
      <c r="T1184" s="1">
        <v>1</v>
      </c>
      <c r="U1184" s="1" t="str">
        <f t="shared" si="431"/>
        <v>SIM</v>
      </c>
      <c r="V1184" s="1">
        <f t="shared" si="432"/>
        <v>550</v>
      </c>
      <c r="W1184" s="4">
        <f t="shared" si="433"/>
        <v>1.4545454545454546</v>
      </c>
      <c r="X1184" s="4">
        <f t="shared" si="434"/>
        <v>530.90909090909088</v>
      </c>
      <c r="Y1184" s="4">
        <f t="shared" si="435"/>
        <v>0.66363636363636358</v>
      </c>
      <c r="AB1184" s="5">
        <f t="shared" si="436"/>
        <v>45292</v>
      </c>
      <c r="AC1184" s="5">
        <f t="shared" si="437"/>
        <v>45657</v>
      </c>
      <c r="AD1184" s="1">
        <v>30</v>
      </c>
      <c r="AE1184" s="1">
        <f t="shared" si="438"/>
        <v>0</v>
      </c>
      <c r="AF1184" s="1">
        <f t="shared" si="439"/>
        <v>0</v>
      </c>
      <c r="AG1184" s="1">
        <f t="shared" si="440"/>
        <v>25</v>
      </c>
      <c r="AH1184" s="1">
        <f t="shared" si="441"/>
        <v>0</v>
      </c>
      <c r="AI1184" s="1">
        <f t="shared" si="442"/>
        <v>0</v>
      </c>
      <c r="AJ1184" s="3">
        <f t="shared" si="443"/>
        <v>6.8306010928961755E-2</v>
      </c>
      <c r="AK1184" s="3">
        <f t="shared" si="444"/>
        <v>4.5330352707401891E-2</v>
      </c>
      <c r="AL1184" s="3">
        <f t="shared" si="445"/>
        <v>1.3599105812220567</v>
      </c>
      <c r="AM1184" s="3">
        <f t="shared" si="446"/>
        <v>1.3599105812220567</v>
      </c>
      <c r="AN1184" s="3">
        <f t="shared" si="447"/>
        <v>0</v>
      </c>
      <c r="AO1184" s="3">
        <f t="shared" si="448"/>
        <v>1.3599105812220567</v>
      </c>
      <c r="AP1184" s="1" t="str">
        <f>INDEX({"EAD";"EAD";"EAD";"EAD MOOC";"EAD";"EAD";"EAD FP";"EAD";"PRESENCIAL";"PRESENCIAL";"PRESENCIAL";"PRESENCIAL"}, MATCH(CONCATENATE(E1184, ".", F1184),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85" spans="1:42" x14ac:dyDescent="0.25">
      <c r="A1185" s="1" t="s">
        <v>27</v>
      </c>
      <c r="B1185" s="1" t="s">
        <v>60</v>
      </c>
      <c r="C1185" s="1" t="s">
        <v>29</v>
      </c>
      <c r="D1185" s="1" t="s">
        <v>61</v>
      </c>
      <c r="E1185" s="1" t="s">
        <v>120</v>
      </c>
      <c r="F1185" s="1" t="s">
        <v>21</v>
      </c>
      <c r="G1185" s="1" t="s">
        <v>161</v>
      </c>
      <c r="H1185" s="1" t="s">
        <v>240</v>
      </c>
      <c r="I1185" s="1" t="s">
        <v>172</v>
      </c>
      <c r="J1185" s="1" t="s">
        <v>125</v>
      </c>
      <c r="K1185" s="1" t="s">
        <v>259</v>
      </c>
      <c r="L1185" s="1">
        <v>2905300</v>
      </c>
      <c r="M1185" s="1" t="s">
        <v>1341</v>
      </c>
      <c r="N1185" s="5">
        <f>DATE(2022,8,16)</f>
        <v>44789</v>
      </c>
      <c r="O1185" s="5">
        <f>DATE(2022,12,15)</f>
        <v>44910</v>
      </c>
      <c r="P1185" s="5">
        <f t="shared" si="429"/>
        <v>44910</v>
      </c>
      <c r="Q1185" s="1">
        <v>160</v>
      </c>
      <c r="R1185" s="1">
        <v>160</v>
      </c>
      <c r="S1185" s="1">
        <f t="shared" si="430"/>
        <v>160</v>
      </c>
      <c r="T1185" s="1">
        <v>1</v>
      </c>
      <c r="U1185" s="1" t="str">
        <f t="shared" si="431"/>
        <v>NÃO</v>
      </c>
      <c r="V1185" s="1">
        <f t="shared" si="432"/>
        <v>122</v>
      </c>
      <c r="W1185" s="4">
        <f t="shared" si="433"/>
        <v>1.3114754098360655</v>
      </c>
      <c r="X1185" s="4">
        <f t="shared" si="434"/>
        <v>160</v>
      </c>
      <c r="Y1185" s="4">
        <f t="shared" si="435"/>
        <v>0.2</v>
      </c>
      <c r="AB1185" s="5">
        <f t="shared" si="436"/>
        <v>45292</v>
      </c>
      <c r="AC1185" s="5">
        <f t="shared" si="437"/>
        <v>45657</v>
      </c>
      <c r="AD1185" s="1">
        <v>2</v>
      </c>
      <c r="AE1185" s="1">
        <f t="shared" si="438"/>
        <v>0</v>
      </c>
      <c r="AF1185" s="1">
        <f t="shared" si="439"/>
        <v>0</v>
      </c>
      <c r="AG1185" s="1">
        <f t="shared" si="440"/>
        <v>0</v>
      </c>
      <c r="AH1185" s="1">
        <f t="shared" si="441"/>
        <v>0</v>
      </c>
      <c r="AI1185" s="1">
        <f t="shared" si="442"/>
        <v>183</v>
      </c>
      <c r="AJ1185" s="3">
        <f t="shared" si="443"/>
        <v>1.5</v>
      </c>
      <c r="AK1185" s="3">
        <f t="shared" si="444"/>
        <v>0.30000000000000004</v>
      </c>
      <c r="AL1185" s="3">
        <f t="shared" si="445"/>
        <v>0</v>
      </c>
      <c r="AM1185" s="3">
        <f t="shared" si="446"/>
        <v>0</v>
      </c>
      <c r="AN1185" s="3">
        <f t="shared" si="447"/>
        <v>0</v>
      </c>
      <c r="AO1185" s="3">
        <f t="shared" si="448"/>
        <v>0</v>
      </c>
      <c r="AP1185" s="1" t="str">
        <f>INDEX({"EAD";"EAD";"EAD";"EAD MOOC";"EAD";"EAD";"EAD FP";"EAD";"PRESENCIAL";"PRESENCIAL";"PRESENCIAL";"PRESENCIAL"}, MATCH(CONCATENATE(E1185, ".", F1185),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86" spans="1:42" x14ac:dyDescent="0.25">
      <c r="A1186" s="1" t="s">
        <v>27</v>
      </c>
      <c r="B1186" s="1" t="s">
        <v>60</v>
      </c>
      <c r="C1186" s="1" t="s">
        <v>29</v>
      </c>
      <c r="D1186" s="1" t="s">
        <v>61</v>
      </c>
      <c r="E1186" s="1" t="s">
        <v>120</v>
      </c>
      <c r="F1186" s="1" t="s">
        <v>21</v>
      </c>
      <c r="G1186" s="1" t="s">
        <v>128</v>
      </c>
      <c r="H1186" s="1" t="s">
        <v>1133</v>
      </c>
      <c r="I1186" s="1" t="s">
        <v>503</v>
      </c>
      <c r="J1186" s="1" t="s">
        <v>125</v>
      </c>
      <c r="K1186" s="1" t="s">
        <v>130</v>
      </c>
      <c r="L1186" s="1">
        <v>2944585</v>
      </c>
      <c r="M1186" s="1" t="s">
        <v>1342</v>
      </c>
      <c r="N1186" s="5">
        <f>DATE(2023,2,2)</f>
        <v>44959</v>
      </c>
      <c r="O1186" s="5">
        <f>DATE(2025,12,24)</f>
        <v>46015</v>
      </c>
      <c r="P1186" s="5">
        <f t="shared" si="429"/>
        <v>47110</v>
      </c>
      <c r="Q1186" s="1">
        <v>3758</v>
      </c>
      <c r="R1186" s="1">
        <v>1200</v>
      </c>
      <c r="S1186" s="1">
        <f t="shared" si="430"/>
        <v>3200</v>
      </c>
      <c r="T1186" s="1">
        <v>2.5</v>
      </c>
      <c r="U1186" s="1" t="str">
        <f t="shared" si="431"/>
        <v>SIM</v>
      </c>
      <c r="V1186" s="1">
        <f t="shared" si="432"/>
        <v>1057</v>
      </c>
      <c r="W1186" s="4">
        <f t="shared" si="433"/>
        <v>3.0274361400189216</v>
      </c>
      <c r="X1186" s="4">
        <f t="shared" si="434"/>
        <v>1105.0141911069063</v>
      </c>
      <c r="Y1186" s="4">
        <f t="shared" si="435"/>
        <v>1.381267738883633</v>
      </c>
      <c r="AB1186" s="5">
        <f t="shared" si="436"/>
        <v>45292</v>
      </c>
      <c r="AC1186" s="5">
        <f t="shared" si="437"/>
        <v>45657</v>
      </c>
      <c r="AD1186" s="1">
        <v>35</v>
      </c>
      <c r="AE1186" s="1">
        <f t="shared" si="438"/>
        <v>366</v>
      </c>
      <c r="AF1186" s="1">
        <f t="shared" si="439"/>
        <v>0</v>
      </c>
      <c r="AG1186" s="1">
        <f t="shared" si="440"/>
        <v>0</v>
      </c>
      <c r="AH1186" s="1">
        <f t="shared" si="441"/>
        <v>0</v>
      </c>
      <c r="AI1186" s="1">
        <f t="shared" si="442"/>
        <v>0</v>
      </c>
      <c r="AJ1186" s="3">
        <f t="shared" si="443"/>
        <v>1</v>
      </c>
      <c r="AK1186" s="3">
        <f t="shared" si="444"/>
        <v>1.381267738883633</v>
      </c>
      <c r="AL1186" s="3">
        <f t="shared" si="445"/>
        <v>48.344370860927157</v>
      </c>
      <c r="AM1186" s="3">
        <f t="shared" si="446"/>
        <v>120.86092715231788</v>
      </c>
      <c r="AN1186" s="3">
        <f t="shared" si="447"/>
        <v>0</v>
      </c>
      <c r="AO1186" s="3">
        <f t="shared" si="448"/>
        <v>120.86092715231788</v>
      </c>
      <c r="AP1186" s="1" t="str">
        <f>INDEX({"EAD";"EAD";"EAD";"EAD MOOC";"EAD";"EAD";"EAD FP";"EAD";"PRESENCIAL";"PRESENCIAL";"PRESENCIAL";"PRESENCIAL"}, MATCH(CONCATENATE(E1186, ".", F1186),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87" spans="1:42" x14ac:dyDescent="0.25">
      <c r="A1187" s="1" t="s">
        <v>27</v>
      </c>
      <c r="B1187" s="1" t="s">
        <v>60</v>
      </c>
      <c r="C1187" s="1" t="s">
        <v>29</v>
      </c>
      <c r="D1187" s="1" t="s">
        <v>61</v>
      </c>
      <c r="E1187" s="1" t="s">
        <v>120</v>
      </c>
      <c r="F1187" s="1" t="s">
        <v>21</v>
      </c>
      <c r="G1187" s="1" t="s">
        <v>128</v>
      </c>
      <c r="H1187" s="1" t="s">
        <v>1166</v>
      </c>
      <c r="I1187" s="1" t="s">
        <v>503</v>
      </c>
      <c r="J1187" s="1" t="s">
        <v>125</v>
      </c>
      <c r="K1187" s="1" t="s">
        <v>130</v>
      </c>
      <c r="L1187" s="1">
        <v>2944586</v>
      </c>
      <c r="M1187" s="1" t="s">
        <v>1343</v>
      </c>
      <c r="N1187" s="5">
        <f>DATE(2023,2,2)</f>
        <v>44959</v>
      </c>
      <c r="O1187" s="5">
        <f>DATE(2025,12,24)</f>
        <v>46015</v>
      </c>
      <c r="P1187" s="5">
        <f t="shared" si="429"/>
        <v>47110</v>
      </c>
      <c r="Q1187" s="1">
        <v>3758</v>
      </c>
      <c r="R1187" s="1">
        <v>1200</v>
      </c>
      <c r="S1187" s="1">
        <f t="shared" si="430"/>
        <v>3200</v>
      </c>
      <c r="T1187" s="1">
        <v>2.5</v>
      </c>
      <c r="U1187" s="1" t="str">
        <f t="shared" si="431"/>
        <v>SIM</v>
      </c>
      <c r="V1187" s="1">
        <f t="shared" si="432"/>
        <v>1057</v>
      </c>
      <c r="W1187" s="4">
        <f t="shared" si="433"/>
        <v>3.0274361400189216</v>
      </c>
      <c r="X1187" s="4">
        <f t="shared" si="434"/>
        <v>1105.0141911069063</v>
      </c>
      <c r="Y1187" s="4">
        <f t="shared" si="435"/>
        <v>1.381267738883633</v>
      </c>
      <c r="AB1187" s="5">
        <f t="shared" si="436"/>
        <v>45292</v>
      </c>
      <c r="AC1187" s="5">
        <f t="shared" si="437"/>
        <v>45657</v>
      </c>
      <c r="AD1187" s="1">
        <v>28</v>
      </c>
      <c r="AE1187" s="1">
        <f t="shared" si="438"/>
        <v>366</v>
      </c>
      <c r="AF1187" s="1">
        <f t="shared" si="439"/>
        <v>0</v>
      </c>
      <c r="AG1187" s="1">
        <f t="shared" si="440"/>
        <v>0</v>
      </c>
      <c r="AH1187" s="1">
        <f t="shared" si="441"/>
        <v>0</v>
      </c>
      <c r="AI1187" s="1">
        <f t="shared" si="442"/>
        <v>0</v>
      </c>
      <c r="AJ1187" s="3">
        <f t="shared" si="443"/>
        <v>1</v>
      </c>
      <c r="AK1187" s="3">
        <f t="shared" si="444"/>
        <v>1.381267738883633</v>
      </c>
      <c r="AL1187" s="3">
        <f t="shared" si="445"/>
        <v>38.675496688741724</v>
      </c>
      <c r="AM1187" s="3">
        <f t="shared" si="446"/>
        <v>96.688741721854313</v>
      </c>
      <c r="AN1187" s="3">
        <f t="shared" si="447"/>
        <v>0</v>
      </c>
      <c r="AO1187" s="3">
        <f t="shared" si="448"/>
        <v>96.688741721854313</v>
      </c>
      <c r="AP1187" s="1" t="str">
        <f>INDEX({"EAD";"EAD";"EAD";"EAD MOOC";"EAD";"EAD";"EAD FP";"EAD";"PRESENCIAL";"PRESENCIAL";"PRESENCIAL";"PRESENCIAL"}, MATCH(CONCATENATE(E1187, ".", F1187),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88" spans="1:42" x14ac:dyDescent="0.25">
      <c r="A1188" s="1" t="s">
        <v>27</v>
      </c>
      <c r="B1188" s="1" t="s">
        <v>60</v>
      </c>
      <c r="C1188" s="1" t="s">
        <v>29</v>
      </c>
      <c r="D1188" s="1" t="s">
        <v>61</v>
      </c>
      <c r="E1188" s="1" t="s">
        <v>120</v>
      </c>
      <c r="F1188" s="1" t="s">
        <v>21</v>
      </c>
      <c r="G1188" s="1" t="s">
        <v>128</v>
      </c>
      <c r="H1188" s="1" t="s">
        <v>129</v>
      </c>
      <c r="I1188" s="1" t="s">
        <v>124</v>
      </c>
      <c r="J1188" s="1" t="s">
        <v>125</v>
      </c>
      <c r="K1188" s="1" t="s">
        <v>163</v>
      </c>
      <c r="L1188" s="1">
        <v>2944587</v>
      </c>
      <c r="M1188" s="1" t="s">
        <v>1344</v>
      </c>
      <c r="N1188" s="5">
        <f>DATE(2023,2,2)</f>
        <v>44959</v>
      </c>
      <c r="O1188" s="5">
        <f>DATE(2024,7,30)</f>
        <v>45503</v>
      </c>
      <c r="P1188" s="5">
        <f t="shared" si="429"/>
        <v>46598</v>
      </c>
      <c r="Q1188" s="1">
        <v>1020</v>
      </c>
      <c r="R1188" s="1">
        <v>800</v>
      </c>
      <c r="S1188" s="1">
        <f t="shared" si="430"/>
        <v>800</v>
      </c>
      <c r="T1188" s="1">
        <v>1</v>
      </c>
      <c r="U1188" s="1" t="str">
        <f t="shared" si="431"/>
        <v>SIM</v>
      </c>
      <c r="V1188" s="1">
        <f t="shared" si="432"/>
        <v>545</v>
      </c>
      <c r="W1188" s="4">
        <f t="shared" si="433"/>
        <v>1.4678899082568808</v>
      </c>
      <c r="X1188" s="4">
        <f t="shared" si="434"/>
        <v>535.77981651376149</v>
      </c>
      <c r="Y1188" s="4">
        <f t="shared" si="435"/>
        <v>0.66972477064220182</v>
      </c>
      <c r="AB1188" s="5">
        <f t="shared" si="436"/>
        <v>45292</v>
      </c>
      <c r="AC1188" s="5">
        <f t="shared" si="437"/>
        <v>45657</v>
      </c>
      <c r="AD1188" s="1">
        <v>34</v>
      </c>
      <c r="AE1188" s="1">
        <f t="shared" si="438"/>
        <v>0</v>
      </c>
      <c r="AF1188" s="1">
        <f t="shared" si="439"/>
        <v>0</v>
      </c>
      <c r="AG1188" s="1">
        <f t="shared" si="440"/>
        <v>212</v>
      </c>
      <c r="AH1188" s="1">
        <f t="shared" si="441"/>
        <v>0</v>
      </c>
      <c r="AI1188" s="1">
        <f t="shared" si="442"/>
        <v>0</v>
      </c>
      <c r="AJ1188" s="3">
        <f t="shared" si="443"/>
        <v>0.57923497267759561</v>
      </c>
      <c r="AK1188" s="3">
        <f t="shared" si="444"/>
        <v>0.38792800922444476</v>
      </c>
      <c r="AL1188" s="3">
        <f t="shared" si="445"/>
        <v>13.189552313631122</v>
      </c>
      <c r="AM1188" s="3">
        <f t="shared" si="446"/>
        <v>13.189552313631122</v>
      </c>
      <c r="AN1188" s="3">
        <f t="shared" si="447"/>
        <v>0</v>
      </c>
      <c r="AO1188" s="3">
        <f t="shared" si="448"/>
        <v>13.189552313631122</v>
      </c>
      <c r="AP1188" s="1" t="str">
        <f>INDEX({"EAD";"EAD";"EAD";"EAD MOOC";"EAD";"EAD";"EAD FP";"EAD";"PRESENCIAL";"PRESENCIAL";"PRESENCIAL";"PRESENCIAL"}, MATCH(CONCATENATE(E1188, ".", F1188),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89" spans="1:42" x14ac:dyDescent="0.25">
      <c r="A1189" s="1" t="s">
        <v>27</v>
      </c>
      <c r="B1189" s="1" t="s">
        <v>60</v>
      </c>
      <c r="C1189" s="1" t="s">
        <v>29</v>
      </c>
      <c r="D1189" s="1" t="s">
        <v>61</v>
      </c>
      <c r="E1189" s="1" t="s">
        <v>170</v>
      </c>
      <c r="F1189" s="1" t="s">
        <v>21</v>
      </c>
      <c r="G1189" s="1" t="s">
        <v>128</v>
      </c>
      <c r="H1189" s="1" t="s">
        <v>171</v>
      </c>
      <c r="I1189" s="1" t="s">
        <v>172</v>
      </c>
      <c r="J1189" s="1" t="s">
        <v>125</v>
      </c>
      <c r="K1189" s="1" t="s">
        <v>163</v>
      </c>
      <c r="L1189" s="1">
        <v>2958269</v>
      </c>
      <c r="M1189" s="1" t="s">
        <v>173</v>
      </c>
      <c r="N1189" s="5">
        <f>DATE(2023,4,3)</f>
        <v>45019</v>
      </c>
      <c r="O1189" s="5">
        <f>DATE(2024,8,31)</f>
        <v>45535</v>
      </c>
      <c r="P1189" s="5">
        <f t="shared" si="429"/>
        <v>46630</v>
      </c>
      <c r="Q1189" s="1">
        <v>1200</v>
      </c>
      <c r="R1189" s="1">
        <v>1200</v>
      </c>
      <c r="S1189" s="1">
        <f t="shared" si="430"/>
        <v>1200</v>
      </c>
      <c r="T1189" s="1">
        <v>2</v>
      </c>
      <c r="U1189" s="1" t="str">
        <f t="shared" si="431"/>
        <v>SIM</v>
      </c>
      <c r="V1189" s="1">
        <f t="shared" si="432"/>
        <v>517</v>
      </c>
      <c r="W1189" s="4">
        <f t="shared" si="433"/>
        <v>2.3210831721470018</v>
      </c>
      <c r="X1189" s="4">
        <f t="shared" si="434"/>
        <v>847.19535783365563</v>
      </c>
      <c r="Y1189" s="4">
        <f t="shared" si="435"/>
        <v>1.0589941972920696</v>
      </c>
      <c r="AB1189" s="5">
        <f t="shared" si="436"/>
        <v>45292</v>
      </c>
      <c r="AC1189" s="5">
        <f t="shared" si="437"/>
        <v>45657</v>
      </c>
      <c r="AD1189" s="1">
        <v>16</v>
      </c>
      <c r="AE1189" s="1">
        <f t="shared" si="438"/>
        <v>0</v>
      </c>
      <c r="AF1189" s="1">
        <f t="shared" si="439"/>
        <v>0</v>
      </c>
      <c r="AG1189" s="1">
        <f t="shared" si="440"/>
        <v>244</v>
      </c>
      <c r="AH1189" s="1">
        <f t="shared" si="441"/>
        <v>0</v>
      </c>
      <c r="AI1189" s="1">
        <f t="shared" si="442"/>
        <v>0</v>
      </c>
      <c r="AJ1189" s="3">
        <f t="shared" si="443"/>
        <v>0.66666666666666663</v>
      </c>
      <c r="AK1189" s="3">
        <f t="shared" si="444"/>
        <v>0.7059961315280463</v>
      </c>
      <c r="AL1189" s="3">
        <f t="shared" si="445"/>
        <v>11.295938104448741</v>
      </c>
      <c r="AM1189" s="3">
        <f t="shared" si="446"/>
        <v>22.591876208897482</v>
      </c>
      <c r="AN1189" s="3">
        <f t="shared" si="447"/>
        <v>0</v>
      </c>
      <c r="AO1189" s="3">
        <f t="shared" si="448"/>
        <v>22.591876208897482</v>
      </c>
      <c r="AP1189" s="1" t="str">
        <f>INDEX({"EAD";"EAD";"EAD";"EAD MOOC";"EAD";"EAD";"EAD FP";"EAD";"PRESENCIAL";"PRESENCIAL";"PRESENCIAL";"PRESENCIAL"}, MATCH(CONCATENATE(E1189, ".", F1189),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190" spans="1:42" x14ac:dyDescent="0.25">
      <c r="A1190" s="1" t="s">
        <v>27</v>
      </c>
      <c r="B1190" s="1" t="s">
        <v>60</v>
      </c>
      <c r="C1190" s="1" t="s">
        <v>29</v>
      </c>
      <c r="D1190" s="1" t="s">
        <v>61</v>
      </c>
      <c r="E1190" s="1" t="s">
        <v>170</v>
      </c>
      <c r="F1190" s="1" t="s">
        <v>21</v>
      </c>
      <c r="G1190" s="1" t="s">
        <v>128</v>
      </c>
      <c r="H1190" s="1" t="s">
        <v>171</v>
      </c>
      <c r="I1190" s="1" t="s">
        <v>172</v>
      </c>
      <c r="J1190" s="1" t="s">
        <v>125</v>
      </c>
      <c r="K1190" s="1" t="s">
        <v>163</v>
      </c>
      <c r="L1190" s="1">
        <v>2958276</v>
      </c>
      <c r="M1190" s="1" t="s">
        <v>173</v>
      </c>
      <c r="N1190" s="5">
        <f>DATE(2023,4,3)</f>
        <v>45019</v>
      </c>
      <c r="O1190" s="5">
        <f>DATE(2024,8,31)</f>
        <v>45535</v>
      </c>
      <c r="P1190" s="5">
        <f t="shared" si="429"/>
        <v>46630</v>
      </c>
      <c r="Q1190" s="1">
        <v>1200</v>
      </c>
      <c r="R1190" s="1">
        <v>1200</v>
      </c>
      <c r="S1190" s="1">
        <f t="shared" si="430"/>
        <v>1200</v>
      </c>
      <c r="T1190" s="1">
        <v>2</v>
      </c>
      <c r="U1190" s="1" t="str">
        <f t="shared" si="431"/>
        <v>SIM</v>
      </c>
      <c r="V1190" s="1">
        <f t="shared" si="432"/>
        <v>517</v>
      </c>
      <c r="W1190" s="4">
        <f t="shared" si="433"/>
        <v>2.3210831721470018</v>
      </c>
      <c r="X1190" s="4">
        <f t="shared" si="434"/>
        <v>847.19535783365563</v>
      </c>
      <c r="Y1190" s="4">
        <f t="shared" si="435"/>
        <v>1.0589941972920696</v>
      </c>
      <c r="AB1190" s="5">
        <f t="shared" si="436"/>
        <v>45292</v>
      </c>
      <c r="AC1190" s="5">
        <f t="shared" si="437"/>
        <v>45657</v>
      </c>
      <c r="AD1190" s="1">
        <v>57</v>
      </c>
      <c r="AE1190" s="1">
        <f t="shared" si="438"/>
        <v>0</v>
      </c>
      <c r="AF1190" s="1">
        <f t="shared" si="439"/>
        <v>0</v>
      </c>
      <c r="AG1190" s="1">
        <f t="shared" si="440"/>
        <v>244</v>
      </c>
      <c r="AH1190" s="1">
        <f t="shared" si="441"/>
        <v>0</v>
      </c>
      <c r="AI1190" s="1">
        <f t="shared" si="442"/>
        <v>0</v>
      </c>
      <c r="AJ1190" s="3">
        <f t="shared" si="443"/>
        <v>0.66666666666666663</v>
      </c>
      <c r="AK1190" s="3">
        <f t="shared" si="444"/>
        <v>0.7059961315280463</v>
      </c>
      <c r="AL1190" s="3">
        <f t="shared" si="445"/>
        <v>40.241779497098641</v>
      </c>
      <c r="AM1190" s="3">
        <f t="shared" si="446"/>
        <v>80.483558994197281</v>
      </c>
      <c r="AN1190" s="3">
        <f t="shared" si="447"/>
        <v>0</v>
      </c>
      <c r="AO1190" s="3">
        <f t="shared" si="448"/>
        <v>80.483558994197281</v>
      </c>
      <c r="AP1190" s="1" t="str">
        <f>INDEX({"EAD";"EAD";"EAD";"EAD MOOC";"EAD";"EAD";"EAD FP";"EAD";"PRESENCIAL";"PRESENCIAL";"PRESENCIAL";"PRESENCIAL"}, MATCH(CONCATENATE(E1190, ".", F1190),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191" spans="1:42" x14ac:dyDescent="0.25">
      <c r="A1191" s="1" t="s">
        <v>27</v>
      </c>
      <c r="B1191" s="1" t="s">
        <v>60</v>
      </c>
      <c r="C1191" s="1" t="s">
        <v>29</v>
      </c>
      <c r="D1191" s="1" t="s">
        <v>61</v>
      </c>
      <c r="E1191" s="1" t="s">
        <v>170</v>
      </c>
      <c r="F1191" s="1" t="s">
        <v>21</v>
      </c>
      <c r="G1191" s="1" t="s">
        <v>128</v>
      </c>
      <c r="H1191" s="1" t="s">
        <v>176</v>
      </c>
      <c r="I1191" s="1" t="s">
        <v>172</v>
      </c>
      <c r="J1191" s="1" t="s">
        <v>125</v>
      </c>
      <c r="K1191" s="1" t="s">
        <v>163</v>
      </c>
      <c r="L1191" s="1">
        <v>2958277</v>
      </c>
      <c r="M1191" s="1" t="s">
        <v>177</v>
      </c>
      <c r="N1191" s="5">
        <f>DATE(2023,4,3)</f>
        <v>45019</v>
      </c>
      <c r="O1191" s="5">
        <f>DATE(2024,8,31)</f>
        <v>45535</v>
      </c>
      <c r="P1191" s="5">
        <f t="shared" si="429"/>
        <v>46630</v>
      </c>
      <c r="Q1191" s="1">
        <v>1200</v>
      </c>
      <c r="R1191" s="1">
        <v>800</v>
      </c>
      <c r="S1191" s="1">
        <f t="shared" si="430"/>
        <v>800</v>
      </c>
      <c r="T1191" s="1">
        <v>1.5</v>
      </c>
      <c r="U1191" s="1" t="str">
        <f t="shared" si="431"/>
        <v>SIM</v>
      </c>
      <c r="V1191" s="1">
        <f t="shared" si="432"/>
        <v>517</v>
      </c>
      <c r="W1191" s="4">
        <f t="shared" si="433"/>
        <v>1.5473887814313345</v>
      </c>
      <c r="X1191" s="4">
        <f t="shared" si="434"/>
        <v>564.79690522243709</v>
      </c>
      <c r="Y1191" s="4">
        <f t="shared" si="435"/>
        <v>0.70599613152804641</v>
      </c>
      <c r="AB1191" s="5">
        <f t="shared" si="436"/>
        <v>45292</v>
      </c>
      <c r="AC1191" s="5">
        <f t="shared" si="437"/>
        <v>45657</v>
      </c>
      <c r="AD1191" s="1">
        <v>17</v>
      </c>
      <c r="AE1191" s="1">
        <f t="shared" si="438"/>
        <v>0</v>
      </c>
      <c r="AF1191" s="1">
        <f t="shared" si="439"/>
        <v>0</v>
      </c>
      <c r="AG1191" s="1">
        <f t="shared" si="440"/>
        <v>244</v>
      </c>
      <c r="AH1191" s="1">
        <f t="shared" si="441"/>
        <v>0</v>
      </c>
      <c r="AI1191" s="1">
        <f t="shared" si="442"/>
        <v>0</v>
      </c>
      <c r="AJ1191" s="3">
        <f t="shared" si="443"/>
        <v>0.66666666666666663</v>
      </c>
      <c r="AK1191" s="3">
        <f t="shared" si="444"/>
        <v>0.47066408768536427</v>
      </c>
      <c r="AL1191" s="3">
        <f t="shared" si="445"/>
        <v>8.0012894906511924</v>
      </c>
      <c r="AM1191" s="3">
        <f t="shared" si="446"/>
        <v>12.001934235976789</v>
      </c>
      <c r="AN1191" s="3">
        <f t="shared" si="447"/>
        <v>0</v>
      </c>
      <c r="AO1191" s="3">
        <f t="shared" si="448"/>
        <v>12.001934235976789</v>
      </c>
      <c r="AP1191" s="1" t="str">
        <f>INDEX({"EAD";"EAD";"EAD";"EAD MOOC";"EAD";"EAD";"EAD FP";"EAD";"PRESENCIAL";"PRESENCIAL";"PRESENCIAL";"PRESENCIAL"}, MATCH(CONCATENATE(E1191, ".", F1191),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192" spans="1:42" x14ac:dyDescent="0.25">
      <c r="A1192" s="1" t="s">
        <v>27</v>
      </c>
      <c r="B1192" s="1" t="s">
        <v>60</v>
      </c>
      <c r="C1192" s="1" t="s">
        <v>29</v>
      </c>
      <c r="D1192" s="1" t="s">
        <v>61</v>
      </c>
      <c r="E1192" s="1" t="s">
        <v>170</v>
      </c>
      <c r="F1192" s="1" t="s">
        <v>1345</v>
      </c>
      <c r="G1192" s="1" t="s">
        <v>161</v>
      </c>
      <c r="H1192" s="1" t="s">
        <v>1346</v>
      </c>
      <c r="I1192" s="1" t="s">
        <v>172</v>
      </c>
      <c r="J1192" s="1" t="s">
        <v>125</v>
      </c>
      <c r="K1192" s="1" t="s">
        <v>1347</v>
      </c>
      <c r="L1192" s="1">
        <v>2975135</v>
      </c>
      <c r="M1192" s="1" t="s">
        <v>1348</v>
      </c>
      <c r="N1192" s="5">
        <f>DATE(2023,4,10)</f>
        <v>45026</v>
      </c>
      <c r="O1192" s="5">
        <f>DATE(2023,6,15)</f>
        <v>45092</v>
      </c>
      <c r="P1192" s="5">
        <f t="shared" si="429"/>
        <v>45092</v>
      </c>
      <c r="Q1192" s="1">
        <v>160</v>
      </c>
      <c r="R1192" s="1">
        <v>200</v>
      </c>
      <c r="S1192" s="1">
        <f t="shared" si="430"/>
        <v>160</v>
      </c>
      <c r="T1192" s="1">
        <v>2.5</v>
      </c>
      <c r="U1192" s="1" t="str">
        <f t="shared" si="431"/>
        <v>NÃO</v>
      </c>
      <c r="V1192" s="1">
        <f t="shared" si="432"/>
        <v>67</v>
      </c>
      <c r="W1192" s="4">
        <f t="shared" si="433"/>
        <v>2.3880597014925371</v>
      </c>
      <c r="X1192" s="4">
        <f t="shared" si="434"/>
        <v>160</v>
      </c>
      <c r="Y1192" s="4">
        <f t="shared" si="435"/>
        <v>0.2</v>
      </c>
      <c r="AB1192" s="5">
        <f t="shared" si="436"/>
        <v>45292</v>
      </c>
      <c r="AC1192" s="5">
        <f t="shared" si="437"/>
        <v>45657</v>
      </c>
      <c r="AD1192" s="1">
        <v>94</v>
      </c>
      <c r="AE1192" s="1">
        <f t="shared" si="438"/>
        <v>0</v>
      </c>
      <c r="AF1192" s="1">
        <f t="shared" si="439"/>
        <v>0</v>
      </c>
      <c r="AG1192" s="1">
        <f t="shared" si="440"/>
        <v>0</v>
      </c>
      <c r="AH1192" s="1">
        <f t="shared" si="441"/>
        <v>0</v>
      </c>
      <c r="AI1192" s="1">
        <f t="shared" si="442"/>
        <v>183</v>
      </c>
      <c r="AJ1192" s="3">
        <f t="shared" si="443"/>
        <v>2.7313432835820897</v>
      </c>
      <c r="AK1192" s="3">
        <f t="shared" si="444"/>
        <v>0.546268656716418</v>
      </c>
      <c r="AL1192" s="3">
        <f t="shared" si="445"/>
        <v>0</v>
      </c>
      <c r="AM1192" s="3">
        <f t="shared" si="446"/>
        <v>0</v>
      </c>
      <c r="AN1192" s="3">
        <f t="shared" si="447"/>
        <v>0</v>
      </c>
      <c r="AO1192" s="3">
        <f t="shared" si="448"/>
        <v>0</v>
      </c>
      <c r="AP1192" s="1" t="str">
        <f>INDEX({"EAD";"EAD";"EAD";"EAD MOOC";"EAD";"EAD";"EAD FP";"EAD";"PRESENCIAL";"PRESENCIAL";"PRESENCIAL";"PRESENCIAL"}, MATCH(CONCATENATE(E1192, ".", F1192),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1193" spans="1:42" x14ac:dyDescent="0.25">
      <c r="A1193" s="1" t="s">
        <v>27</v>
      </c>
      <c r="B1193" s="1" t="s">
        <v>60</v>
      </c>
      <c r="C1193" s="1" t="s">
        <v>29</v>
      </c>
      <c r="D1193" s="1" t="s">
        <v>61</v>
      </c>
      <c r="E1193" s="1" t="s">
        <v>120</v>
      </c>
      <c r="F1193" s="1" t="s">
        <v>21</v>
      </c>
      <c r="G1193" s="1" t="s">
        <v>128</v>
      </c>
      <c r="H1193" s="1" t="s">
        <v>129</v>
      </c>
      <c r="I1193" s="1" t="s">
        <v>124</v>
      </c>
      <c r="J1193" s="1" t="s">
        <v>125</v>
      </c>
      <c r="K1193" s="1" t="s">
        <v>163</v>
      </c>
      <c r="L1193" s="1">
        <v>3014172</v>
      </c>
      <c r="M1193" s="1" t="s">
        <v>1349</v>
      </c>
      <c r="N1193" s="5">
        <f>DATE(2023,7,17)</f>
        <v>45124</v>
      </c>
      <c r="O1193" s="5">
        <f>DATE(2024,12,31)</f>
        <v>45657</v>
      </c>
      <c r="P1193" s="5">
        <f t="shared" si="429"/>
        <v>46752</v>
      </c>
      <c r="Q1193" s="1">
        <v>1020</v>
      </c>
      <c r="R1193" s="1">
        <v>800</v>
      </c>
      <c r="S1193" s="1">
        <f t="shared" si="430"/>
        <v>800</v>
      </c>
      <c r="T1193" s="1">
        <v>1</v>
      </c>
      <c r="U1193" s="1" t="str">
        <f t="shared" si="431"/>
        <v>SIM</v>
      </c>
      <c r="V1193" s="1">
        <f t="shared" si="432"/>
        <v>534</v>
      </c>
      <c r="W1193" s="4">
        <f t="shared" si="433"/>
        <v>1.4981273408239701</v>
      </c>
      <c r="X1193" s="4">
        <f t="shared" si="434"/>
        <v>546.81647940074913</v>
      </c>
      <c r="Y1193" s="4">
        <f t="shared" si="435"/>
        <v>0.68352059925093644</v>
      </c>
      <c r="AB1193" s="5">
        <f t="shared" si="436"/>
        <v>45292</v>
      </c>
      <c r="AC1193" s="5">
        <f t="shared" si="437"/>
        <v>45657</v>
      </c>
      <c r="AD1193" s="1">
        <v>23</v>
      </c>
      <c r="AE1193" s="1">
        <f t="shared" si="438"/>
        <v>0</v>
      </c>
      <c r="AF1193" s="1">
        <f t="shared" si="439"/>
        <v>0</v>
      </c>
      <c r="AG1193" s="1">
        <f t="shared" si="440"/>
        <v>366</v>
      </c>
      <c r="AH1193" s="1">
        <f t="shared" si="441"/>
        <v>0</v>
      </c>
      <c r="AI1193" s="1">
        <f t="shared" si="442"/>
        <v>0</v>
      </c>
      <c r="AJ1193" s="3">
        <f t="shared" si="443"/>
        <v>1</v>
      </c>
      <c r="AK1193" s="3">
        <f t="shared" si="444"/>
        <v>0.68352059925093644</v>
      </c>
      <c r="AL1193" s="3">
        <f t="shared" si="445"/>
        <v>15.720973782771539</v>
      </c>
      <c r="AM1193" s="3">
        <f t="shared" si="446"/>
        <v>15.720973782771539</v>
      </c>
      <c r="AN1193" s="3">
        <f t="shared" si="447"/>
        <v>0</v>
      </c>
      <c r="AO1193" s="3">
        <f t="shared" si="448"/>
        <v>15.720973782771539</v>
      </c>
      <c r="AP1193" s="1" t="str">
        <f>INDEX({"EAD";"EAD";"EAD";"EAD MOOC";"EAD";"EAD";"EAD FP";"EAD";"PRESENCIAL";"PRESENCIAL";"PRESENCIAL";"PRESENCIAL"}, MATCH(CONCATENATE(E1193, ".", F1193),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94" spans="1:42" x14ac:dyDescent="0.25">
      <c r="A1194" s="1" t="s">
        <v>27</v>
      </c>
      <c r="B1194" s="1" t="s">
        <v>60</v>
      </c>
      <c r="C1194" s="1" t="s">
        <v>29</v>
      </c>
      <c r="D1194" s="1" t="s">
        <v>61</v>
      </c>
      <c r="E1194" s="1" t="s">
        <v>170</v>
      </c>
      <c r="F1194" s="1" t="s">
        <v>1345</v>
      </c>
      <c r="G1194" s="1" t="s">
        <v>161</v>
      </c>
      <c r="H1194" s="1" t="s">
        <v>1346</v>
      </c>
      <c r="I1194" s="1" t="s">
        <v>172</v>
      </c>
      <c r="J1194" s="1" t="s">
        <v>125</v>
      </c>
      <c r="K1194" s="1" t="s">
        <v>1347</v>
      </c>
      <c r="L1194" s="1">
        <v>3069489</v>
      </c>
      <c r="M1194" s="1" t="s">
        <v>1350</v>
      </c>
      <c r="N1194" s="5">
        <f>DATE(2023,10,1)</f>
        <v>45200</v>
      </c>
      <c r="O1194" s="5">
        <f>DATE(2024,1,31)</f>
        <v>45322</v>
      </c>
      <c r="P1194" s="5">
        <f t="shared" si="429"/>
        <v>45322</v>
      </c>
      <c r="Q1194" s="1">
        <v>160</v>
      </c>
      <c r="R1194" s="1">
        <v>200</v>
      </c>
      <c r="S1194" s="1">
        <f t="shared" si="430"/>
        <v>160</v>
      </c>
      <c r="T1194" s="1">
        <v>2.5</v>
      </c>
      <c r="U1194" s="1" t="str">
        <f t="shared" si="431"/>
        <v>SIM</v>
      </c>
      <c r="V1194" s="1">
        <f t="shared" si="432"/>
        <v>123</v>
      </c>
      <c r="W1194" s="4">
        <f t="shared" si="433"/>
        <v>1.3008130081300813</v>
      </c>
      <c r="X1194" s="4">
        <f t="shared" si="434"/>
        <v>160</v>
      </c>
      <c r="Y1194" s="4">
        <f t="shared" si="435"/>
        <v>0.2</v>
      </c>
      <c r="AB1194" s="5">
        <f t="shared" si="436"/>
        <v>45292</v>
      </c>
      <c r="AC1194" s="5">
        <f t="shared" si="437"/>
        <v>45657</v>
      </c>
      <c r="AD1194" s="1">
        <v>102</v>
      </c>
      <c r="AE1194" s="1">
        <f t="shared" si="438"/>
        <v>0</v>
      </c>
      <c r="AF1194" s="1">
        <f t="shared" si="439"/>
        <v>0</v>
      </c>
      <c r="AG1194" s="1">
        <f t="shared" si="440"/>
        <v>31</v>
      </c>
      <c r="AH1194" s="1">
        <f t="shared" si="441"/>
        <v>0</v>
      </c>
      <c r="AI1194" s="1">
        <f t="shared" si="442"/>
        <v>0</v>
      </c>
      <c r="AJ1194" s="3">
        <f t="shared" si="443"/>
        <v>0.25203252032520324</v>
      </c>
      <c r="AK1194" s="3">
        <f t="shared" si="444"/>
        <v>5.0406504065040651E-2</v>
      </c>
      <c r="AL1194" s="3">
        <f t="shared" si="445"/>
        <v>5.1414634146341465</v>
      </c>
      <c r="AM1194" s="3">
        <f t="shared" si="446"/>
        <v>12.853658536585366</v>
      </c>
      <c r="AN1194" s="3">
        <f t="shared" si="447"/>
        <v>0</v>
      </c>
      <c r="AO1194" s="3">
        <f t="shared" si="448"/>
        <v>12.853658536585366</v>
      </c>
      <c r="AP1194" s="1" t="str">
        <f>INDEX({"EAD";"EAD";"EAD";"EAD MOOC";"EAD";"EAD";"EAD FP";"EAD";"PRESENCIAL";"PRESENCIAL";"PRESENCIAL";"PRESENCIAL"}, MATCH(CONCATENATE(E1194, ".", F1194),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1195" spans="1:42" x14ac:dyDescent="0.25">
      <c r="A1195" s="1" t="s">
        <v>27</v>
      </c>
      <c r="B1195" s="1" t="s">
        <v>60</v>
      </c>
      <c r="C1195" s="1" t="s">
        <v>29</v>
      </c>
      <c r="D1195" s="1" t="s">
        <v>61</v>
      </c>
      <c r="E1195" s="1" t="s">
        <v>120</v>
      </c>
      <c r="F1195" s="1" t="s">
        <v>21</v>
      </c>
      <c r="G1195" s="1" t="s">
        <v>128</v>
      </c>
      <c r="H1195" s="1" t="s">
        <v>1166</v>
      </c>
      <c r="I1195" s="1" t="s">
        <v>503</v>
      </c>
      <c r="J1195" s="1" t="s">
        <v>125</v>
      </c>
      <c r="K1195" s="1" t="s">
        <v>130</v>
      </c>
      <c r="L1195" s="1">
        <v>3071455</v>
      </c>
      <c r="M1195" s="1" t="s">
        <v>1351</v>
      </c>
      <c r="N1195" s="5">
        <f>DATE(2024,2,1)</f>
        <v>45323</v>
      </c>
      <c r="O1195" s="5">
        <f>DATE(2026,12,31)</f>
        <v>46387</v>
      </c>
      <c r="P1195" s="5">
        <f t="shared" si="429"/>
        <v>47482</v>
      </c>
      <c r="Q1195" s="1">
        <v>3452</v>
      </c>
      <c r="R1195" s="1">
        <v>1200</v>
      </c>
      <c r="S1195" s="1">
        <f t="shared" si="430"/>
        <v>3200</v>
      </c>
      <c r="T1195" s="1">
        <v>2.5</v>
      </c>
      <c r="U1195" s="1" t="str">
        <f t="shared" si="431"/>
        <v>SIM</v>
      </c>
      <c r="V1195" s="1">
        <f t="shared" si="432"/>
        <v>1065</v>
      </c>
      <c r="W1195" s="4">
        <f t="shared" si="433"/>
        <v>3.004694835680751</v>
      </c>
      <c r="X1195" s="4">
        <f t="shared" si="434"/>
        <v>1096.7136150234742</v>
      </c>
      <c r="Y1195" s="4">
        <f t="shared" si="435"/>
        <v>1.3708920187793427</v>
      </c>
      <c r="AB1195" s="5">
        <f t="shared" si="436"/>
        <v>45292</v>
      </c>
      <c r="AC1195" s="5">
        <f t="shared" si="437"/>
        <v>45657</v>
      </c>
      <c r="AD1195" s="1">
        <v>37</v>
      </c>
      <c r="AE1195" s="1">
        <f t="shared" si="438"/>
        <v>0</v>
      </c>
      <c r="AF1195" s="1">
        <f t="shared" si="439"/>
        <v>335</v>
      </c>
      <c r="AG1195" s="1">
        <f t="shared" si="440"/>
        <v>0</v>
      </c>
      <c r="AH1195" s="1">
        <f t="shared" si="441"/>
        <v>0</v>
      </c>
      <c r="AI1195" s="1">
        <f t="shared" si="442"/>
        <v>0</v>
      </c>
      <c r="AJ1195" s="3">
        <f t="shared" si="443"/>
        <v>0.91530054644808745</v>
      </c>
      <c r="AK1195" s="3">
        <f t="shared" si="444"/>
        <v>1.2547782139100543</v>
      </c>
      <c r="AL1195" s="3">
        <f t="shared" si="445"/>
        <v>46.426793914672011</v>
      </c>
      <c r="AM1195" s="3">
        <f t="shared" si="446"/>
        <v>116.06698478668002</v>
      </c>
      <c r="AN1195" s="3">
        <f t="shared" si="447"/>
        <v>0</v>
      </c>
      <c r="AO1195" s="3">
        <f t="shared" si="448"/>
        <v>116.06698478668002</v>
      </c>
      <c r="AP1195" s="1" t="str">
        <f>INDEX({"EAD";"EAD";"EAD";"EAD MOOC";"EAD";"EAD";"EAD FP";"EAD";"PRESENCIAL";"PRESENCIAL";"PRESENCIAL";"PRESENCIAL"}, MATCH(CONCATENATE(E1195, ".", F1195),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96" spans="1:42" x14ac:dyDescent="0.25">
      <c r="A1196" s="1" t="s">
        <v>27</v>
      </c>
      <c r="B1196" s="1" t="s">
        <v>60</v>
      </c>
      <c r="C1196" s="1" t="s">
        <v>29</v>
      </c>
      <c r="D1196" s="1" t="s">
        <v>61</v>
      </c>
      <c r="E1196" s="1" t="s">
        <v>120</v>
      </c>
      <c r="F1196" s="1" t="s">
        <v>21</v>
      </c>
      <c r="G1196" s="1" t="s">
        <v>128</v>
      </c>
      <c r="H1196" s="1" t="s">
        <v>1133</v>
      </c>
      <c r="I1196" s="1" t="s">
        <v>503</v>
      </c>
      <c r="J1196" s="1" t="s">
        <v>125</v>
      </c>
      <c r="K1196" s="1" t="s">
        <v>130</v>
      </c>
      <c r="L1196" s="1">
        <v>3071462</v>
      </c>
      <c r="M1196" s="1" t="s">
        <v>1352</v>
      </c>
      <c r="N1196" s="5">
        <f>DATE(2024,2,1)</f>
        <v>45323</v>
      </c>
      <c r="O1196" s="5">
        <f>DATE(2026,12,31)</f>
        <v>46387</v>
      </c>
      <c r="P1196" s="5">
        <f t="shared" si="429"/>
        <v>47482</v>
      </c>
      <c r="Q1196" s="1">
        <v>3452</v>
      </c>
      <c r="R1196" s="1">
        <v>1200</v>
      </c>
      <c r="S1196" s="1">
        <f t="shared" si="430"/>
        <v>3200</v>
      </c>
      <c r="T1196" s="1">
        <v>2.5</v>
      </c>
      <c r="U1196" s="1" t="str">
        <f t="shared" si="431"/>
        <v>SIM</v>
      </c>
      <c r="V1196" s="1">
        <f t="shared" si="432"/>
        <v>1065</v>
      </c>
      <c r="W1196" s="4">
        <f t="shared" si="433"/>
        <v>3.004694835680751</v>
      </c>
      <c r="X1196" s="4">
        <f t="shared" si="434"/>
        <v>1096.7136150234742</v>
      </c>
      <c r="Y1196" s="4">
        <f t="shared" si="435"/>
        <v>1.3708920187793427</v>
      </c>
      <c r="AB1196" s="5">
        <f t="shared" si="436"/>
        <v>45292</v>
      </c>
      <c r="AC1196" s="5">
        <f t="shared" si="437"/>
        <v>45657</v>
      </c>
      <c r="AD1196" s="1">
        <v>35</v>
      </c>
      <c r="AE1196" s="1">
        <f t="shared" si="438"/>
        <v>0</v>
      </c>
      <c r="AF1196" s="1">
        <f t="shared" si="439"/>
        <v>335</v>
      </c>
      <c r="AG1196" s="1">
        <f t="shared" si="440"/>
        <v>0</v>
      </c>
      <c r="AH1196" s="1">
        <f t="shared" si="441"/>
        <v>0</v>
      </c>
      <c r="AI1196" s="1">
        <f t="shared" si="442"/>
        <v>0</v>
      </c>
      <c r="AJ1196" s="3">
        <f t="shared" si="443"/>
        <v>0.91530054644808745</v>
      </c>
      <c r="AK1196" s="3">
        <f t="shared" si="444"/>
        <v>1.2547782139100543</v>
      </c>
      <c r="AL1196" s="3">
        <f t="shared" si="445"/>
        <v>43.917237486851903</v>
      </c>
      <c r="AM1196" s="3">
        <f t="shared" si="446"/>
        <v>109.79309371712975</v>
      </c>
      <c r="AN1196" s="3">
        <f t="shared" si="447"/>
        <v>0</v>
      </c>
      <c r="AO1196" s="3">
        <f t="shared" si="448"/>
        <v>109.79309371712975</v>
      </c>
      <c r="AP1196" s="1" t="str">
        <f>INDEX({"EAD";"EAD";"EAD";"EAD MOOC";"EAD";"EAD";"EAD FP";"EAD";"PRESENCIAL";"PRESENCIAL";"PRESENCIAL";"PRESENCIAL"}, MATCH(CONCATENATE(E1196, ".", F1196),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97" spans="1:42" x14ac:dyDescent="0.25">
      <c r="A1197" s="1" t="s">
        <v>27</v>
      </c>
      <c r="B1197" s="1" t="s">
        <v>60</v>
      </c>
      <c r="C1197" s="1" t="s">
        <v>29</v>
      </c>
      <c r="D1197" s="1" t="s">
        <v>61</v>
      </c>
      <c r="E1197" s="1" t="s">
        <v>120</v>
      </c>
      <c r="F1197" s="1" t="s">
        <v>21</v>
      </c>
      <c r="G1197" s="1" t="s">
        <v>128</v>
      </c>
      <c r="H1197" s="1" t="s">
        <v>1353</v>
      </c>
      <c r="I1197" s="1" t="s">
        <v>107</v>
      </c>
      <c r="J1197" s="1" t="s">
        <v>108</v>
      </c>
      <c r="K1197" s="1" t="s">
        <v>130</v>
      </c>
      <c r="L1197" s="1">
        <v>3074420</v>
      </c>
      <c r="M1197" s="1" t="s">
        <v>1354</v>
      </c>
      <c r="N1197" s="5">
        <f>DATE(2024,2,1)</f>
        <v>45323</v>
      </c>
      <c r="O1197" s="5">
        <f>DATE(2026,12,31)</f>
        <v>46387</v>
      </c>
      <c r="P1197" s="5">
        <f t="shared" si="429"/>
        <v>47482</v>
      </c>
      <c r="Q1197" s="1">
        <v>3452</v>
      </c>
      <c r="R1197" s="1">
        <v>1200</v>
      </c>
      <c r="S1197" s="1">
        <f t="shared" si="430"/>
        <v>3200</v>
      </c>
      <c r="T1197" s="1">
        <v>1.5</v>
      </c>
      <c r="U1197" s="1" t="str">
        <f t="shared" si="431"/>
        <v>SIM</v>
      </c>
      <c r="V1197" s="1">
        <f t="shared" si="432"/>
        <v>1065</v>
      </c>
      <c r="W1197" s="4">
        <f t="shared" si="433"/>
        <v>3.004694835680751</v>
      </c>
      <c r="X1197" s="4">
        <f t="shared" si="434"/>
        <v>1096.7136150234742</v>
      </c>
      <c r="Y1197" s="4">
        <f t="shared" si="435"/>
        <v>1.3708920187793427</v>
      </c>
      <c r="AB1197" s="5">
        <f t="shared" si="436"/>
        <v>45292</v>
      </c>
      <c r="AC1197" s="5">
        <f t="shared" si="437"/>
        <v>45657</v>
      </c>
      <c r="AD1197" s="1">
        <v>36</v>
      </c>
      <c r="AE1197" s="1">
        <f t="shared" si="438"/>
        <v>0</v>
      </c>
      <c r="AF1197" s="1">
        <f t="shared" si="439"/>
        <v>335</v>
      </c>
      <c r="AG1197" s="1">
        <f t="shared" si="440"/>
        <v>0</v>
      </c>
      <c r="AH1197" s="1">
        <f t="shared" si="441"/>
        <v>0</v>
      </c>
      <c r="AI1197" s="1">
        <f t="shared" si="442"/>
        <v>0</v>
      </c>
      <c r="AJ1197" s="3">
        <f t="shared" si="443"/>
        <v>0.91530054644808745</v>
      </c>
      <c r="AK1197" s="3">
        <f t="shared" si="444"/>
        <v>1.2547782139100543</v>
      </c>
      <c r="AL1197" s="3">
        <f t="shared" si="445"/>
        <v>45.172015700761953</v>
      </c>
      <c r="AM1197" s="3">
        <f t="shared" si="446"/>
        <v>67.758023551142927</v>
      </c>
      <c r="AN1197" s="3">
        <f t="shared" si="447"/>
        <v>33.879011775571463</v>
      </c>
      <c r="AO1197" s="3">
        <f t="shared" si="448"/>
        <v>101.6370353267144</v>
      </c>
      <c r="AP1197" s="1" t="str">
        <f>INDEX({"EAD";"EAD";"EAD";"EAD MOOC";"EAD";"EAD";"EAD FP";"EAD";"PRESENCIAL";"PRESENCIAL";"PRESENCIAL";"PRESENCIAL"}, MATCH(CONCATENATE(E1197, ".", F1197),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198" spans="1:42" x14ac:dyDescent="0.25">
      <c r="A1198" s="1" t="s">
        <v>27</v>
      </c>
      <c r="B1198" s="1" t="s">
        <v>60</v>
      </c>
      <c r="C1198" s="1" t="s">
        <v>29</v>
      </c>
      <c r="D1198" s="1" t="s">
        <v>61</v>
      </c>
      <c r="E1198" s="1" t="s">
        <v>170</v>
      </c>
      <c r="F1198" s="1" t="s">
        <v>21</v>
      </c>
      <c r="G1198" s="1" t="s">
        <v>178</v>
      </c>
      <c r="H1198" s="1" t="s">
        <v>1355</v>
      </c>
      <c r="I1198" s="1" t="s">
        <v>449</v>
      </c>
      <c r="J1198" s="1" t="s">
        <v>125</v>
      </c>
      <c r="K1198" s="1" t="s">
        <v>109</v>
      </c>
      <c r="L1198" s="1">
        <v>3077100</v>
      </c>
      <c r="M1198" s="1" t="s">
        <v>1356</v>
      </c>
      <c r="N1198" s="5">
        <f>DATE(2024,2,26)</f>
        <v>45348</v>
      </c>
      <c r="O1198" s="5">
        <f>DATE(2025,3,31)</f>
        <v>45747</v>
      </c>
      <c r="P1198" s="5">
        <f t="shared" si="429"/>
        <v>46842</v>
      </c>
      <c r="Q1198" s="1">
        <v>470</v>
      </c>
      <c r="R1198" s="1">
        <v>360</v>
      </c>
      <c r="S1198" s="1">
        <f t="shared" si="430"/>
        <v>360</v>
      </c>
      <c r="T1198" s="1">
        <v>1</v>
      </c>
      <c r="U1198" s="1" t="str">
        <f t="shared" si="431"/>
        <v>SIM</v>
      </c>
      <c r="V1198" s="1">
        <f t="shared" si="432"/>
        <v>400</v>
      </c>
      <c r="W1198" s="4">
        <f t="shared" si="433"/>
        <v>0.9</v>
      </c>
      <c r="X1198" s="4">
        <f t="shared" si="434"/>
        <v>328.5</v>
      </c>
      <c r="Y1198" s="4">
        <f t="shared" si="435"/>
        <v>0.41062500000000002</v>
      </c>
      <c r="AB1198" s="5">
        <f t="shared" si="436"/>
        <v>45292</v>
      </c>
      <c r="AC1198" s="5">
        <f t="shared" si="437"/>
        <v>45657</v>
      </c>
      <c r="AD1198" s="1">
        <v>52</v>
      </c>
      <c r="AE1198" s="1">
        <f t="shared" si="438"/>
        <v>0</v>
      </c>
      <c r="AF1198" s="1">
        <f t="shared" si="439"/>
        <v>310</v>
      </c>
      <c r="AG1198" s="1">
        <f t="shared" si="440"/>
        <v>0</v>
      </c>
      <c r="AH1198" s="1">
        <f t="shared" si="441"/>
        <v>0</v>
      </c>
      <c r="AI1198" s="1">
        <f t="shared" si="442"/>
        <v>0</v>
      </c>
      <c r="AJ1198" s="3">
        <f t="shared" si="443"/>
        <v>0.84699453551912574</v>
      </c>
      <c r="AK1198" s="3">
        <f t="shared" si="444"/>
        <v>0.34779713114754102</v>
      </c>
      <c r="AL1198" s="3">
        <f t="shared" si="445"/>
        <v>18.085450819672133</v>
      </c>
      <c r="AM1198" s="3">
        <f t="shared" si="446"/>
        <v>18.085450819672133</v>
      </c>
      <c r="AN1198" s="3">
        <f t="shared" si="447"/>
        <v>0</v>
      </c>
      <c r="AO1198" s="3">
        <f t="shared" si="448"/>
        <v>18.085450819672133</v>
      </c>
      <c r="AP1198" s="1" t="str">
        <f>INDEX({"EAD";"EAD";"EAD";"EAD MOOC";"EAD";"EAD";"EAD FP";"EAD";"PRESENCIAL";"PRESENCIAL";"PRESENCIAL";"PRESENCIAL"}, MATCH(CONCATENATE(E1198, ".", F1198),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199" spans="1:42" x14ac:dyDescent="0.25">
      <c r="A1199" s="1" t="s">
        <v>27</v>
      </c>
      <c r="B1199" s="1" t="s">
        <v>60</v>
      </c>
      <c r="C1199" s="1" t="s">
        <v>29</v>
      </c>
      <c r="D1199" s="1" t="s">
        <v>61</v>
      </c>
      <c r="E1199" s="1" t="s">
        <v>170</v>
      </c>
      <c r="F1199" s="1" t="s">
        <v>1345</v>
      </c>
      <c r="G1199" s="1" t="s">
        <v>161</v>
      </c>
      <c r="H1199" s="1" t="s">
        <v>1346</v>
      </c>
      <c r="I1199" s="1" t="s">
        <v>172</v>
      </c>
      <c r="J1199" s="1" t="s">
        <v>125</v>
      </c>
      <c r="K1199" s="1" t="s">
        <v>1347</v>
      </c>
      <c r="L1199" s="1">
        <v>3155236</v>
      </c>
      <c r="M1199" s="1" t="s">
        <v>1357</v>
      </c>
      <c r="N1199" s="5">
        <f>DATE(2024,8,5)</f>
        <v>45509</v>
      </c>
      <c r="O1199" s="5">
        <f>DATE(2024,12,6)</f>
        <v>45632</v>
      </c>
      <c r="P1199" s="5">
        <f t="shared" si="429"/>
        <v>45632</v>
      </c>
      <c r="Q1199" s="1">
        <v>160</v>
      </c>
      <c r="R1199" s="1">
        <v>200</v>
      </c>
      <c r="S1199" s="1">
        <f t="shared" si="430"/>
        <v>160</v>
      </c>
      <c r="T1199" s="1">
        <v>2.5</v>
      </c>
      <c r="U1199" s="1" t="str">
        <f t="shared" si="431"/>
        <v>SIM</v>
      </c>
      <c r="V1199" s="1">
        <f t="shared" si="432"/>
        <v>124</v>
      </c>
      <c r="W1199" s="4">
        <f t="shared" si="433"/>
        <v>1.2903225806451613</v>
      </c>
      <c r="X1199" s="4">
        <f t="shared" si="434"/>
        <v>160</v>
      </c>
      <c r="Y1199" s="4">
        <f t="shared" si="435"/>
        <v>0.2</v>
      </c>
      <c r="AB1199" s="5">
        <f t="shared" si="436"/>
        <v>45292</v>
      </c>
      <c r="AC1199" s="5">
        <f t="shared" si="437"/>
        <v>45657</v>
      </c>
      <c r="AD1199" s="1">
        <v>50</v>
      </c>
      <c r="AE1199" s="1">
        <f t="shared" si="438"/>
        <v>0</v>
      </c>
      <c r="AF1199" s="1">
        <f t="shared" si="439"/>
        <v>0</v>
      </c>
      <c r="AG1199" s="1">
        <f t="shared" si="440"/>
        <v>0</v>
      </c>
      <c r="AH1199" s="1">
        <f t="shared" si="441"/>
        <v>124</v>
      </c>
      <c r="AI1199" s="1">
        <f t="shared" si="442"/>
        <v>0</v>
      </c>
      <c r="AJ1199" s="3">
        <f t="shared" si="443"/>
        <v>1</v>
      </c>
      <c r="AK1199" s="3">
        <f t="shared" si="444"/>
        <v>0.2</v>
      </c>
      <c r="AL1199" s="3">
        <f t="shared" si="445"/>
        <v>10</v>
      </c>
      <c r="AM1199" s="3">
        <f t="shared" si="446"/>
        <v>25</v>
      </c>
      <c r="AN1199" s="3">
        <f t="shared" si="447"/>
        <v>0</v>
      </c>
      <c r="AO1199" s="3">
        <f t="shared" si="448"/>
        <v>25</v>
      </c>
      <c r="AP1199" s="1" t="str">
        <f>INDEX({"EAD";"EAD";"EAD";"EAD MOOC";"EAD";"EAD";"EAD FP";"EAD";"PRESENCIAL";"PRESENCIAL";"PRESENCIAL";"PRESENCIAL"}, MATCH(CONCATENATE(E1199, ".", F1199),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1200" spans="1:42" x14ac:dyDescent="0.25">
      <c r="A1200" s="1" t="s">
        <v>27</v>
      </c>
      <c r="B1200" s="1" t="s">
        <v>60</v>
      </c>
      <c r="C1200" s="1" t="s">
        <v>29</v>
      </c>
      <c r="D1200" s="1" t="s">
        <v>61</v>
      </c>
      <c r="E1200" s="1" t="s">
        <v>120</v>
      </c>
      <c r="F1200" s="1" t="s">
        <v>21</v>
      </c>
      <c r="G1200" s="1" t="s">
        <v>161</v>
      </c>
      <c r="H1200" s="1" t="s">
        <v>162</v>
      </c>
      <c r="I1200" s="1" t="s">
        <v>124</v>
      </c>
      <c r="J1200" s="1" t="s">
        <v>125</v>
      </c>
      <c r="K1200" s="1" t="s">
        <v>109</v>
      </c>
      <c r="L1200" s="1">
        <v>3174972</v>
      </c>
      <c r="M1200" s="1" t="s">
        <v>1358</v>
      </c>
      <c r="N1200" s="5">
        <f>DATE(2024,10,8)</f>
        <v>45573</v>
      </c>
      <c r="O1200" s="5">
        <f>DATE(2025,2,28)</f>
        <v>45716</v>
      </c>
      <c r="P1200" s="5">
        <f t="shared" si="429"/>
        <v>45716</v>
      </c>
      <c r="Q1200" s="1">
        <v>160</v>
      </c>
      <c r="R1200" s="1">
        <v>1600</v>
      </c>
      <c r="S1200" s="1">
        <f t="shared" si="430"/>
        <v>160</v>
      </c>
      <c r="T1200" s="1">
        <v>1</v>
      </c>
      <c r="U1200" s="1" t="str">
        <f t="shared" si="431"/>
        <v>SIM</v>
      </c>
      <c r="V1200" s="1">
        <f t="shared" si="432"/>
        <v>144</v>
      </c>
      <c r="W1200" s="4">
        <f t="shared" si="433"/>
        <v>1.1111111111111112</v>
      </c>
      <c r="X1200" s="4">
        <f t="shared" si="434"/>
        <v>160</v>
      </c>
      <c r="Y1200" s="4">
        <f t="shared" si="435"/>
        <v>0.2</v>
      </c>
      <c r="AB1200" s="5">
        <f t="shared" si="436"/>
        <v>45292</v>
      </c>
      <c r="AC1200" s="5">
        <f t="shared" si="437"/>
        <v>45657</v>
      </c>
      <c r="AD1200" s="1">
        <v>30</v>
      </c>
      <c r="AE1200" s="1">
        <f t="shared" si="438"/>
        <v>0</v>
      </c>
      <c r="AF1200" s="1">
        <f t="shared" si="439"/>
        <v>85</v>
      </c>
      <c r="AG1200" s="1">
        <f t="shared" si="440"/>
        <v>0</v>
      </c>
      <c r="AH1200" s="1">
        <f t="shared" si="441"/>
        <v>0</v>
      </c>
      <c r="AI1200" s="1">
        <f t="shared" si="442"/>
        <v>0</v>
      </c>
      <c r="AJ1200" s="3">
        <f t="shared" si="443"/>
        <v>0.59027777777777779</v>
      </c>
      <c r="AK1200" s="3">
        <f t="shared" si="444"/>
        <v>0.11805555555555557</v>
      </c>
      <c r="AL1200" s="3">
        <f t="shared" si="445"/>
        <v>3.541666666666667</v>
      </c>
      <c r="AM1200" s="3">
        <f t="shared" si="446"/>
        <v>3.541666666666667</v>
      </c>
      <c r="AN1200" s="3">
        <f t="shared" si="447"/>
        <v>0</v>
      </c>
      <c r="AO1200" s="3">
        <f t="shared" si="448"/>
        <v>3.541666666666667</v>
      </c>
      <c r="AP1200" s="1" t="str">
        <f>INDEX({"EAD";"EAD";"EAD";"EAD MOOC";"EAD";"EAD";"EAD FP";"EAD";"PRESENCIAL";"PRESENCIAL";"PRESENCIAL";"PRESENCIAL"}, MATCH(CONCATENATE(E1200, ".", F1200),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01" spans="1:42" x14ac:dyDescent="0.25">
      <c r="A1201" s="1" t="s">
        <v>27</v>
      </c>
      <c r="B1201" s="1" t="s">
        <v>62</v>
      </c>
      <c r="C1201" s="1" t="s">
        <v>29</v>
      </c>
      <c r="D1201" s="1" t="s">
        <v>63</v>
      </c>
      <c r="E1201" s="1" t="s">
        <v>120</v>
      </c>
      <c r="F1201" s="1" t="s">
        <v>21</v>
      </c>
      <c r="G1201" s="1" t="s">
        <v>140</v>
      </c>
      <c r="H1201" s="1" t="s">
        <v>865</v>
      </c>
      <c r="I1201" s="1" t="s">
        <v>224</v>
      </c>
      <c r="J1201" s="1" t="s">
        <v>125</v>
      </c>
      <c r="K1201" s="1" t="s">
        <v>109</v>
      </c>
      <c r="L1201" s="1">
        <v>1987341</v>
      </c>
      <c r="M1201" s="1" t="s">
        <v>1359</v>
      </c>
      <c r="N1201" s="5">
        <f>DATE(2015,2,2)</f>
        <v>42037</v>
      </c>
      <c r="O1201" s="5">
        <f>DATE(2017,12,22)</f>
        <v>43091</v>
      </c>
      <c r="P1201" s="5">
        <f t="shared" si="429"/>
        <v>44186</v>
      </c>
      <c r="Q1201" s="1">
        <v>2085</v>
      </c>
      <c r="R1201" s="1">
        <v>1600</v>
      </c>
      <c r="S1201" s="1">
        <f t="shared" si="430"/>
        <v>1600</v>
      </c>
      <c r="T1201" s="1">
        <v>1</v>
      </c>
      <c r="U1201" s="1" t="str">
        <f t="shared" si="431"/>
        <v>NÃO</v>
      </c>
      <c r="V1201" s="1">
        <f t="shared" si="432"/>
        <v>1055</v>
      </c>
      <c r="W1201" s="4">
        <f t="shared" si="433"/>
        <v>1.5165876777251184</v>
      </c>
      <c r="X1201" s="4">
        <f t="shared" si="434"/>
        <v>553.55450236966817</v>
      </c>
      <c r="Y1201" s="4">
        <f t="shared" si="435"/>
        <v>0.69194312796208524</v>
      </c>
      <c r="AB1201" s="5">
        <f t="shared" si="436"/>
        <v>45292</v>
      </c>
      <c r="AC1201" s="5">
        <f t="shared" si="437"/>
        <v>45657</v>
      </c>
      <c r="AE1201" s="1">
        <f t="shared" si="438"/>
        <v>0</v>
      </c>
      <c r="AF1201" s="1">
        <f t="shared" si="439"/>
        <v>0</v>
      </c>
      <c r="AG1201" s="1">
        <f t="shared" si="440"/>
        <v>0</v>
      </c>
      <c r="AH1201" s="1">
        <f t="shared" si="441"/>
        <v>0</v>
      </c>
      <c r="AI1201" s="1">
        <f t="shared" si="442"/>
        <v>183</v>
      </c>
      <c r="AJ1201" s="3">
        <f t="shared" si="443"/>
        <v>0.5</v>
      </c>
      <c r="AK1201" s="3">
        <f t="shared" si="444"/>
        <v>0.34597156398104262</v>
      </c>
      <c r="AL1201" s="3">
        <f t="shared" si="445"/>
        <v>0</v>
      </c>
      <c r="AM1201" s="3">
        <f t="shared" si="446"/>
        <v>0</v>
      </c>
      <c r="AN1201" s="3">
        <f t="shared" si="447"/>
        <v>0</v>
      </c>
      <c r="AO1201" s="3">
        <f t="shared" si="448"/>
        <v>0</v>
      </c>
      <c r="AP1201" s="1" t="str">
        <f>INDEX({"EAD";"EAD";"EAD";"EAD MOOC";"EAD";"EAD";"EAD FP";"EAD";"PRESENCIAL";"PRESENCIAL";"PRESENCIAL";"PRESENCIAL"}, MATCH(CONCATENATE(E1201, ".", F1201),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02" spans="1:42" x14ac:dyDescent="0.25">
      <c r="A1202" s="1" t="s">
        <v>27</v>
      </c>
      <c r="B1202" s="1" t="s">
        <v>62</v>
      </c>
      <c r="C1202" s="1" t="s">
        <v>29</v>
      </c>
      <c r="D1202" s="1" t="s">
        <v>63</v>
      </c>
      <c r="E1202" s="1" t="s">
        <v>120</v>
      </c>
      <c r="F1202" s="1" t="s">
        <v>21</v>
      </c>
      <c r="G1202" s="1" t="s">
        <v>121</v>
      </c>
      <c r="H1202" s="1" t="s">
        <v>1360</v>
      </c>
      <c r="I1202" s="1" t="s">
        <v>107</v>
      </c>
      <c r="J1202" s="1" t="s">
        <v>108</v>
      </c>
      <c r="K1202" s="1" t="s">
        <v>109</v>
      </c>
      <c r="L1202" s="1">
        <v>1987439</v>
      </c>
      <c r="M1202" s="1" t="s">
        <v>1361</v>
      </c>
      <c r="N1202" s="5">
        <f>DATE(2015,2,2)</f>
        <v>42037</v>
      </c>
      <c r="O1202" s="5">
        <f>DATE(2019,12,20)</f>
        <v>43819</v>
      </c>
      <c r="P1202" s="5">
        <f t="shared" si="429"/>
        <v>44914</v>
      </c>
      <c r="Q1202" s="1">
        <v>4647</v>
      </c>
      <c r="R1202" s="1">
        <v>3600</v>
      </c>
      <c r="S1202" s="1">
        <f t="shared" si="430"/>
        <v>3600</v>
      </c>
      <c r="T1202" s="1">
        <v>2.5</v>
      </c>
      <c r="U1202" s="1" t="str">
        <f t="shared" si="431"/>
        <v>NÃO</v>
      </c>
      <c r="V1202" s="1">
        <f t="shared" si="432"/>
        <v>1783</v>
      </c>
      <c r="W1202" s="4">
        <f t="shared" si="433"/>
        <v>2.0190689848569825</v>
      </c>
      <c r="X1202" s="4">
        <f t="shared" si="434"/>
        <v>736.96017947279859</v>
      </c>
      <c r="Y1202" s="4">
        <f t="shared" si="435"/>
        <v>0.92120022434099824</v>
      </c>
      <c r="AB1202" s="5">
        <f t="shared" si="436"/>
        <v>45292</v>
      </c>
      <c r="AC1202" s="5">
        <f t="shared" si="437"/>
        <v>45657</v>
      </c>
      <c r="AD1202" s="1">
        <v>3</v>
      </c>
      <c r="AE1202" s="1">
        <f t="shared" si="438"/>
        <v>0</v>
      </c>
      <c r="AF1202" s="1">
        <f t="shared" si="439"/>
        <v>0</v>
      </c>
      <c r="AG1202" s="1">
        <f t="shared" si="440"/>
        <v>0</v>
      </c>
      <c r="AH1202" s="1">
        <f t="shared" si="441"/>
        <v>0</v>
      </c>
      <c r="AI1202" s="1">
        <f t="shared" si="442"/>
        <v>183</v>
      </c>
      <c r="AJ1202" s="3">
        <f t="shared" si="443"/>
        <v>0.5</v>
      </c>
      <c r="AK1202" s="3">
        <f t="shared" si="444"/>
        <v>0.46060011217049912</v>
      </c>
      <c r="AL1202" s="3">
        <f t="shared" si="445"/>
        <v>0</v>
      </c>
      <c r="AM1202" s="3">
        <f t="shared" si="446"/>
        <v>0</v>
      </c>
      <c r="AN1202" s="3">
        <f t="shared" si="447"/>
        <v>0</v>
      </c>
      <c r="AO1202" s="3">
        <f t="shared" si="448"/>
        <v>0</v>
      </c>
      <c r="AP1202" s="1" t="str">
        <f>INDEX({"EAD";"EAD";"EAD";"EAD MOOC";"EAD";"EAD";"EAD FP";"EAD";"PRESENCIAL";"PRESENCIAL";"PRESENCIAL";"PRESENCIAL"}, MATCH(CONCATENATE(E1202, ".", F1202),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03" spans="1:42" x14ac:dyDescent="0.25">
      <c r="A1203" s="1" t="s">
        <v>27</v>
      </c>
      <c r="B1203" s="1" t="s">
        <v>62</v>
      </c>
      <c r="C1203" s="1" t="s">
        <v>29</v>
      </c>
      <c r="D1203" s="1" t="s">
        <v>63</v>
      </c>
      <c r="E1203" s="1" t="s">
        <v>120</v>
      </c>
      <c r="F1203" s="1" t="s">
        <v>21</v>
      </c>
      <c r="G1203" s="1" t="s">
        <v>140</v>
      </c>
      <c r="H1203" s="1" t="s">
        <v>1362</v>
      </c>
      <c r="I1203" s="1" t="s">
        <v>107</v>
      </c>
      <c r="J1203" s="1" t="s">
        <v>108</v>
      </c>
      <c r="K1203" s="1" t="s">
        <v>109</v>
      </c>
      <c r="L1203" s="1">
        <v>1987443</v>
      </c>
      <c r="M1203" s="1" t="s">
        <v>1363</v>
      </c>
      <c r="N1203" s="5">
        <f>DATE(2015,8,3)</f>
        <v>42219</v>
      </c>
      <c r="O1203" s="5">
        <f>DATE(2018,7,2)</f>
        <v>43283</v>
      </c>
      <c r="P1203" s="5">
        <f t="shared" si="429"/>
        <v>44378</v>
      </c>
      <c r="Q1203" s="1">
        <v>2939</v>
      </c>
      <c r="R1203" s="1">
        <v>2400</v>
      </c>
      <c r="S1203" s="1">
        <f t="shared" si="430"/>
        <v>2400</v>
      </c>
      <c r="T1203" s="1">
        <v>2.5</v>
      </c>
      <c r="U1203" s="1" t="str">
        <f t="shared" si="431"/>
        <v>NÃO</v>
      </c>
      <c r="V1203" s="1">
        <f t="shared" si="432"/>
        <v>1065</v>
      </c>
      <c r="W1203" s="4">
        <f t="shared" si="433"/>
        <v>2.2535211267605635</v>
      </c>
      <c r="X1203" s="4">
        <f t="shared" si="434"/>
        <v>822.53521126760563</v>
      </c>
      <c r="Y1203" s="4">
        <f t="shared" si="435"/>
        <v>1.028169014084507</v>
      </c>
      <c r="AB1203" s="5">
        <f t="shared" si="436"/>
        <v>45292</v>
      </c>
      <c r="AC1203" s="5">
        <f t="shared" si="437"/>
        <v>45657</v>
      </c>
      <c r="AD1203" s="1">
        <v>1</v>
      </c>
      <c r="AE1203" s="1">
        <f t="shared" si="438"/>
        <v>0</v>
      </c>
      <c r="AF1203" s="1">
        <f t="shared" si="439"/>
        <v>0</v>
      </c>
      <c r="AG1203" s="1">
        <f t="shared" si="440"/>
        <v>0</v>
      </c>
      <c r="AH1203" s="1">
        <f t="shared" si="441"/>
        <v>0</v>
      </c>
      <c r="AI1203" s="1">
        <f t="shared" si="442"/>
        <v>183</v>
      </c>
      <c r="AJ1203" s="3">
        <f t="shared" si="443"/>
        <v>0.5</v>
      </c>
      <c r="AK1203" s="3">
        <f t="shared" si="444"/>
        <v>0.5140845070422535</v>
      </c>
      <c r="AL1203" s="3">
        <f t="shared" si="445"/>
        <v>0</v>
      </c>
      <c r="AM1203" s="3">
        <f t="shared" si="446"/>
        <v>0</v>
      </c>
      <c r="AN1203" s="3">
        <f t="shared" si="447"/>
        <v>0</v>
      </c>
      <c r="AO1203" s="3">
        <f t="shared" si="448"/>
        <v>0</v>
      </c>
      <c r="AP1203" s="1" t="str">
        <f>INDEX({"EAD";"EAD";"EAD";"EAD MOOC";"EAD";"EAD";"EAD FP";"EAD";"PRESENCIAL";"PRESENCIAL";"PRESENCIAL";"PRESENCIAL"}, MATCH(CONCATENATE(E1203, ".", F1203),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04" spans="1:42" x14ac:dyDescent="0.25">
      <c r="A1204" s="1" t="s">
        <v>27</v>
      </c>
      <c r="B1204" s="1" t="s">
        <v>62</v>
      </c>
      <c r="C1204" s="1" t="s">
        <v>29</v>
      </c>
      <c r="D1204" s="1" t="s">
        <v>63</v>
      </c>
      <c r="E1204" s="1" t="s">
        <v>120</v>
      </c>
      <c r="F1204" s="1" t="s">
        <v>21</v>
      </c>
      <c r="G1204" s="1" t="s">
        <v>128</v>
      </c>
      <c r="H1204" s="1" t="s">
        <v>132</v>
      </c>
      <c r="I1204" s="1" t="s">
        <v>107</v>
      </c>
      <c r="J1204" s="1" t="s">
        <v>108</v>
      </c>
      <c r="K1204" s="1" t="s">
        <v>130</v>
      </c>
      <c r="L1204" s="1">
        <v>2018453</v>
      </c>
      <c r="M1204" s="1" t="s">
        <v>1364</v>
      </c>
      <c r="N1204" s="5">
        <f>DATE(2016,3,21)</f>
        <v>42450</v>
      </c>
      <c r="O1204" s="5">
        <f>DATE(2018,12,21)</f>
        <v>43455</v>
      </c>
      <c r="P1204" s="5">
        <f t="shared" si="429"/>
        <v>44550</v>
      </c>
      <c r="Q1204" s="1">
        <v>3818</v>
      </c>
      <c r="R1204" s="1">
        <v>1200</v>
      </c>
      <c r="S1204" s="1">
        <f t="shared" si="430"/>
        <v>3200</v>
      </c>
      <c r="T1204" s="1">
        <v>2.5</v>
      </c>
      <c r="U1204" s="1" t="str">
        <f t="shared" si="431"/>
        <v>NÃO</v>
      </c>
      <c r="V1204" s="1">
        <f t="shared" si="432"/>
        <v>1006</v>
      </c>
      <c r="W1204" s="4">
        <f t="shared" si="433"/>
        <v>3.1809145129224654</v>
      </c>
      <c r="X1204" s="4">
        <f t="shared" si="434"/>
        <v>1161.0337972166999</v>
      </c>
      <c r="Y1204" s="4">
        <f t="shared" si="435"/>
        <v>1.4512922465208749</v>
      </c>
      <c r="AB1204" s="5">
        <f t="shared" si="436"/>
        <v>45292</v>
      </c>
      <c r="AC1204" s="5">
        <f t="shared" si="437"/>
        <v>45657</v>
      </c>
      <c r="AD1204" s="1">
        <v>2</v>
      </c>
      <c r="AE1204" s="1">
        <f t="shared" si="438"/>
        <v>0</v>
      </c>
      <c r="AF1204" s="1">
        <f t="shared" si="439"/>
        <v>0</v>
      </c>
      <c r="AG1204" s="1">
        <f t="shared" si="440"/>
        <v>0</v>
      </c>
      <c r="AH1204" s="1">
        <f t="shared" si="441"/>
        <v>0</v>
      </c>
      <c r="AI1204" s="1">
        <f t="shared" si="442"/>
        <v>183</v>
      </c>
      <c r="AJ1204" s="3">
        <f t="shared" si="443"/>
        <v>0.5</v>
      </c>
      <c r="AK1204" s="3">
        <f t="shared" si="444"/>
        <v>0.72564612326043743</v>
      </c>
      <c r="AL1204" s="3">
        <f t="shared" si="445"/>
        <v>0</v>
      </c>
      <c r="AM1204" s="3">
        <f t="shared" si="446"/>
        <v>0</v>
      </c>
      <c r="AN1204" s="3">
        <f t="shared" si="447"/>
        <v>0</v>
      </c>
      <c r="AO1204" s="3">
        <f t="shared" si="448"/>
        <v>0</v>
      </c>
      <c r="AP1204" s="1" t="str">
        <f>INDEX({"EAD";"EAD";"EAD";"EAD MOOC";"EAD";"EAD";"EAD FP";"EAD";"PRESENCIAL";"PRESENCIAL";"PRESENCIAL";"PRESENCIAL"}, MATCH(CONCATENATE(E1204, ".", F1204),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05" spans="1:42" x14ac:dyDescent="0.25">
      <c r="A1205" s="1" t="s">
        <v>27</v>
      </c>
      <c r="B1205" s="1" t="s">
        <v>62</v>
      </c>
      <c r="C1205" s="1" t="s">
        <v>29</v>
      </c>
      <c r="D1205" s="1" t="s">
        <v>63</v>
      </c>
      <c r="E1205" s="1" t="s">
        <v>120</v>
      </c>
      <c r="F1205" s="1" t="s">
        <v>21</v>
      </c>
      <c r="G1205" s="1" t="s">
        <v>140</v>
      </c>
      <c r="H1205" s="1" t="s">
        <v>1362</v>
      </c>
      <c r="I1205" s="1" t="s">
        <v>107</v>
      </c>
      <c r="J1205" s="1" t="s">
        <v>108</v>
      </c>
      <c r="K1205" s="1" t="s">
        <v>109</v>
      </c>
      <c r="L1205" s="1">
        <v>2024408</v>
      </c>
      <c r="M1205" s="1" t="s">
        <v>1365</v>
      </c>
      <c r="N1205" s="5">
        <f>DATE(2016,3,21)</f>
        <v>42450</v>
      </c>
      <c r="O1205" s="5">
        <f>DATE(2018,12,21)</f>
        <v>43455</v>
      </c>
      <c r="P1205" s="5">
        <f t="shared" si="429"/>
        <v>44550</v>
      </c>
      <c r="Q1205" s="1">
        <v>2939</v>
      </c>
      <c r="R1205" s="1">
        <v>2400</v>
      </c>
      <c r="S1205" s="1">
        <f t="shared" si="430"/>
        <v>2400</v>
      </c>
      <c r="T1205" s="1">
        <v>2.5</v>
      </c>
      <c r="U1205" s="1" t="str">
        <f t="shared" si="431"/>
        <v>NÃO</v>
      </c>
      <c r="V1205" s="1">
        <f t="shared" si="432"/>
        <v>1006</v>
      </c>
      <c r="W1205" s="4">
        <f t="shared" si="433"/>
        <v>2.3856858846918487</v>
      </c>
      <c r="X1205" s="4">
        <f t="shared" si="434"/>
        <v>870.77534791252481</v>
      </c>
      <c r="Y1205" s="4">
        <f t="shared" si="435"/>
        <v>1.088469184890656</v>
      </c>
      <c r="AB1205" s="5">
        <f t="shared" si="436"/>
        <v>45292</v>
      </c>
      <c r="AC1205" s="5">
        <f t="shared" si="437"/>
        <v>45657</v>
      </c>
      <c r="AD1205" s="1">
        <v>2</v>
      </c>
      <c r="AE1205" s="1">
        <f t="shared" si="438"/>
        <v>0</v>
      </c>
      <c r="AF1205" s="1">
        <f t="shared" si="439"/>
        <v>0</v>
      </c>
      <c r="AG1205" s="1">
        <f t="shared" si="440"/>
        <v>0</v>
      </c>
      <c r="AH1205" s="1">
        <f t="shared" si="441"/>
        <v>0</v>
      </c>
      <c r="AI1205" s="1">
        <f t="shared" si="442"/>
        <v>183</v>
      </c>
      <c r="AJ1205" s="3">
        <f t="shared" si="443"/>
        <v>0.5</v>
      </c>
      <c r="AK1205" s="3">
        <f t="shared" si="444"/>
        <v>0.54423459244532801</v>
      </c>
      <c r="AL1205" s="3">
        <f t="shared" si="445"/>
        <v>0</v>
      </c>
      <c r="AM1205" s="3">
        <f t="shared" si="446"/>
        <v>0</v>
      </c>
      <c r="AN1205" s="3">
        <f t="shared" si="447"/>
        <v>0</v>
      </c>
      <c r="AO1205" s="3">
        <f t="shared" si="448"/>
        <v>0</v>
      </c>
      <c r="AP1205" s="1" t="str">
        <f>INDEX({"EAD";"EAD";"EAD";"EAD MOOC";"EAD";"EAD";"EAD FP";"EAD";"PRESENCIAL";"PRESENCIAL";"PRESENCIAL";"PRESENCIAL"}, MATCH(CONCATENATE(E1205, ".", F1205),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06" spans="1:42" x14ac:dyDescent="0.25">
      <c r="A1206" s="1" t="s">
        <v>27</v>
      </c>
      <c r="B1206" s="1" t="s">
        <v>62</v>
      </c>
      <c r="C1206" s="1" t="s">
        <v>29</v>
      </c>
      <c r="D1206" s="1" t="s">
        <v>63</v>
      </c>
      <c r="E1206" s="1" t="s">
        <v>120</v>
      </c>
      <c r="F1206" s="1" t="s">
        <v>21</v>
      </c>
      <c r="G1206" s="1" t="s">
        <v>121</v>
      </c>
      <c r="H1206" s="1" t="s">
        <v>1360</v>
      </c>
      <c r="I1206" s="1" t="s">
        <v>107</v>
      </c>
      <c r="J1206" s="1" t="s">
        <v>108</v>
      </c>
      <c r="K1206" s="1" t="s">
        <v>109</v>
      </c>
      <c r="L1206" s="1">
        <v>2024532</v>
      </c>
      <c r="M1206" s="1" t="s">
        <v>1366</v>
      </c>
      <c r="N1206" s="5">
        <f>DATE(2016,3,21)</f>
        <v>42450</v>
      </c>
      <c r="O1206" s="5">
        <f>DATE(2020,12,20)</f>
        <v>44185</v>
      </c>
      <c r="P1206" s="5">
        <f t="shared" si="429"/>
        <v>45280</v>
      </c>
      <c r="Q1206" s="1">
        <v>4647</v>
      </c>
      <c r="R1206" s="1">
        <v>3600</v>
      </c>
      <c r="S1206" s="1">
        <f t="shared" si="430"/>
        <v>3600</v>
      </c>
      <c r="T1206" s="1">
        <v>2.5</v>
      </c>
      <c r="U1206" s="1" t="str">
        <f t="shared" si="431"/>
        <v>NÃO</v>
      </c>
      <c r="V1206" s="1">
        <f t="shared" si="432"/>
        <v>1736</v>
      </c>
      <c r="W1206" s="4">
        <f t="shared" si="433"/>
        <v>2.0737327188940093</v>
      </c>
      <c r="X1206" s="4">
        <f t="shared" si="434"/>
        <v>756.91244239631339</v>
      </c>
      <c r="Y1206" s="4">
        <f t="shared" si="435"/>
        <v>0.94614055299539179</v>
      </c>
      <c r="AB1206" s="5">
        <f t="shared" si="436"/>
        <v>45292</v>
      </c>
      <c r="AC1206" s="5">
        <f t="shared" si="437"/>
        <v>45657</v>
      </c>
      <c r="AD1206" s="1">
        <v>8</v>
      </c>
      <c r="AE1206" s="1">
        <f t="shared" si="438"/>
        <v>0</v>
      </c>
      <c r="AF1206" s="1">
        <f t="shared" si="439"/>
        <v>0</v>
      </c>
      <c r="AG1206" s="1">
        <f t="shared" si="440"/>
        <v>0</v>
      </c>
      <c r="AH1206" s="1">
        <f t="shared" si="441"/>
        <v>0</v>
      </c>
      <c r="AI1206" s="1">
        <f t="shared" si="442"/>
        <v>183</v>
      </c>
      <c r="AJ1206" s="3">
        <f t="shared" si="443"/>
        <v>0.5</v>
      </c>
      <c r="AK1206" s="3">
        <f t="shared" si="444"/>
        <v>0.4730702764976959</v>
      </c>
      <c r="AL1206" s="3">
        <f t="shared" si="445"/>
        <v>0</v>
      </c>
      <c r="AM1206" s="3">
        <f t="shared" si="446"/>
        <v>0</v>
      </c>
      <c r="AN1206" s="3">
        <f t="shared" si="447"/>
        <v>0</v>
      </c>
      <c r="AO1206" s="3">
        <f t="shared" si="448"/>
        <v>0</v>
      </c>
      <c r="AP1206" s="1" t="str">
        <f>INDEX({"EAD";"EAD";"EAD";"EAD MOOC";"EAD";"EAD";"EAD FP";"EAD";"PRESENCIAL";"PRESENCIAL";"PRESENCIAL";"PRESENCIAL"}, MATCH(CONCATENATE(E1206, ".", F1206),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07" spans="1:42" x14ac:dyDescent="0.25">
      <c r="A1207" s="1" t="s">
        <v>27</v>
      </c>
      <c r="B1207" s="1" t="s">
        <v>62</v>
      </c>
      <c r="C1207" s="1" t="s">
        <v>29</v>
      </c>
      <c r="D1207" s="1" t="s">
        <v>63</v>
      </c>
      <c r="E1207" s="1" t="s">
        <v>120</v>
      </c>
      <c r="F1207" s="1" t="s">
        <v>21</v>
      </c>
      <c r="G1207" s="1" t="s">
        <v>121</v>
      </c>
      <c r="H1207" s="1" t="s">
        <v>1360</v>
      </c>
      <c r="I1207" s="1" t="s">
        <v>107</v>
      </c>
      <c r="J1207" s="1" t="s">
        <v>108</v>
      </c>
      <c r="K1207" s="1" t="s">
        <v>109</v>
      </c>
      <c r="L1207" s="1">
        <v>2126720</v>
      </c>
      <c r="M1207" s="1" t="s">
        <v>1367</v>
      </c>
      <c r="N1207" s="5">
        <f>DATE(2017,2,6)</f>
        <v>42772</v>
      </c>
      <c r="O1207" s="5">
        <f>DATE(2021,12,23)</f>
        <v>44553</v>
      </c>
      <c r="P1207" s="5">
        <f t="shared" si="429"/>
        <v>45648</v>
      </c>
      <c r="Q1207" s="1">
        <v>4647</v>
      </c>
      <c r="R1207" s="1">
        <v>3600</v>
      </c>
      <c r="S1207" s="1">
        <f t="shared" si="430"/>
        <v>3600</v>
      </c>
      <c r="T1207" s="1">
        <v>2.5</v>
      </c>
      <c r="U1207" s="1" t="str">
        <f t="shared" si="431"/>
        <v>SIM</v>
      </c>
      <c r="V1207" s="1">
        <f t="shared" si="432"/>
        <v>1782</v>
      </c>
      <c r="W1207" s="4">
        <f t="shared" si="433"/>
        <v>2.0202020202020203</v>
      </c>
      <c r="X1207" s="4">
        <f t="shared" si="434"/>
        <v>737.37373737373741</v>
      </c>
      <c r="Y1207" s="4">
        <f t="shared" si="435"/>
        <v>0.92171717171717171</v>
      </c>
      <c r="AB1207" s="5">
        <f t="shared" si="436"/>
        <v>45292</v>
      </c>
      <c r="AC1207" s="5">
        <f t="shared" si="437"/>
        <v>45657</v>
      </c>
      <c r="AD1207" s="1">
        <v>20</v>
      </c>
      <c r="AE1207" s="1">
        <f t="shared" si="438"/>
        <v>0</v>
      </c>
      <c r="AF1207" s="1">
        <f t="shared" si="439"/>
        <v>0</v>
      </c>
      <c r="AG1207" s="1">
        <f t="shared" si="440"/>
        <v>0</v>
      </c>
      <c r="AH1207" s="1">
        <f t="shared" si="441"/>
        <v>0</v>
      </c>
      <c r="AI1207" s="1">
        <f t="shared" si="442"/>
        <v>183</v>
      </c>
      <c r="AJ1207" s="3">
        <f t="shared" si="443"/>
        <v>0.5</v>
      </c>
      <c r="AK1207" s="3">
        <f t="shared" si="444"/>
        <v>0.46085858585858586</v>
      </c>
      <c r="AL1207" s="3">
        <f t="shared" si="445"/>
        <v>4.6085858585858581</v>
      </c>
      <c r="AM1207" s="3">
        <f t="shared" si="446"/>
        <v>11.521464646464645</v>
      </c>
      <c r="AN1207" s="3">
        <f t="shared" si="447"/>
        <v>5.7607323232323226</v>
      </c>
      <c r="AO1207" s="3">
        <f t="shared" si="448"/>
        <v>17.282196969696969</v>
      </c>
      <c r="AP1207" s="1" t="str">
        <f>INDEX({"EAD";"EAD";"EAD";"EAD MOOC";"EAD";"EAD";"EAD FP";"EAD";"PRESENCIAL";"PRESENCIAL";"PRESENCIAL";"PRESENCIAL"}, MATCH(CONCATENATE(E1207, ".", F1207),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08" spans="1:42" x14ac:dyDescent="0.25">
      <c r="A1208" s="1" t="s">
        <v>27</v>
      </c>
      <c r="B1208" s="1" t="s">
        <v>62</v>
      </c>
      <c r="C1208" s="1" t="s">
        <v>29</v>
      </c>
      <c r="D1208" s="1" t="s">
        <v>63</v>
      </c>
      <c r="E1208" s="1" t="s">
        <v>120</v>
      </c>
      <c r="F1208" s="1" t="s">
        <v>21</v>
      </c>
      <c r="G1208" s="1" t="s">
        <v>140</v>
      </c>
      <c r="H1208" s="1" t="s">
        <v>1362</v>
      </c>
      <c r="I1208" s="1" t="s">
        <v>107</v>
      </c>
      <c r="J1208" s="1" t="s">
        <v>108</v>
      </c>
      <c r="K1208" s="1" t="s">
        <v>109</v>
      </c>
      <c r="L1208" s="1">
        <v>2126722</v>
      </c>
      <c r="M1208" s="1" t="s">
        <v>1368</v>
      </c>
      <c r="N1208" s="5">
        <f>DATE(2017,2,6)</f>
        <v>42772</v>
      </c>
      <c r="O1208" s="5">
        <f>DATE(2019,12,23)</f>
        <v>43822</v>
      </c>
      <c r="P1208" s="5">
        <f t="shared" si="429"/>
        <v>44917</v>
      </c>
      <c r="Q1208" s="1">
        <v>2939</v>
      </c>
      <c r="R1208" s="1">
        <v>2400</v>
      </c>
      <c r="S1208" s="1">
        <f t="shared" si="430"/>
        <v>2400</v>
      </c>
      <c r="T1208" s="1">
        <v>2.5</v>
      </c>
      <c r="U1208" s="1" t="str">
        <f t="shared" si="431"/>
        <v>NÃO</v>
      </c>
      <c r="V1208" s="1">
        <f t="shared" si="432"/>
        <v>1051</v>
      </c>
      <c r="W1208" s="4">
        <f t="shared" si="433"/>
        <v>2.2835394862036158</v>
      </c>
      <c r="X1208" s="4">
        <f t="shared" si="434"/>
        <v>833.49191246431974</v>
      </c>
      <c r="Y1208" s="4">
        <f t="shared" si="435"/>
        <v>1.0418648905803998</v>
      </c>
      <c r="AB1208" s="5">
        <f t="shared" si="436"/>
        <v>45292</v>
      </c>
      <c r="AC1208" s="5">
        <f t="shared" si="437"/>
        <v>45657</v>
      </c>
      <c r="AD1208" s="1">
        <v>2</v>
      </c>
      <c r="AE1208" s="1">
        <f t="shared" si="438"/>
        <v>0</v>
      </c>
      <c r="AF1208" s="1">
        <f t="shared" si="439"/>
        <v>0</v>
      </c>
      <c r="AG1208" s="1">
        <f t="shared" si="440"/>
        <v>0</v>
      </c>
      <c r="AH1208" s="1">
        <f t="shared" si="441"/>
        <v>0</v>
      </c>
      <c r="AI1208" s="1">
        <f t="shared" si="442"/>
        <v>183</v>
      </c>
      <c r="AJ1208" s="3">
        <f t="shared" si="443"/>
        <v>0.5</v>
      </c>
      <c r="AK1208" s="3">
        <f t="shared" si="444"/>
        <v>0.52093244529019989</v>
      </c>
      <c r="AL1208" s="3">
        <f t="shared" si="445"/>
        <v>0</v>
      </c>
      <c r="AM1208" s="3">
        <f t="shared" si="446"/>
        <v>0</v>
      </c>
      <c r="AN1208" s="3">
        <f t="shared" si="447"/>
        <v>0</v>
      </c>
      <c r="AO1208" s="3">
        <f t="shared" si="448"/>
        <v>0</v>
      </c>
      <c r="AP1208" s="1" t="str">
        <f>INDEX({"EAD";"EAD";"EAD";"EAD MOOC";"EAD";"EAD";"EAD FP";"EAD";"PRESENCIAL";"PRESENCIAL";"PRESENCIAL";"PRESENCIAL"}, MATCH(CONCATENATE(E1208, ".", F1208),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09" spans="1:42" x14ac:dyDescent="0.25">
      <c r="A1209" s="1" t="s">
        <v>27</v>
      </c>
      <c r="B1209" s="1" t="s">
        <v>62</v>
      </c>
      <c r="C1209" s="1" t="s">
        <v>29</v>
      </c>
      <c r="D1209" s="1" t="s">
        <v>63</v>
      </c>
      <c r="E1209" s="1" t="s">
        <v>120</v>
      </c>
      <c r="F1209" s="1" t="s">
        <v>21</v>
      </c>
      <c r="G1209" s="1" t="s">
        <v>128</v>
      </c>
      <c r="H1209" s="1" t="s">
        <v>132</v>
      </c>
      <c r="I1209" s="1" t="s">
        <v>107</v>
      </c>
      <c r="J1209" s="1" t="s">
        <v>108</v>
      </c>
      <c r="K1209" s="1" t="s">
        <v>130</v>
      </c>
      <c r="L1209" s="1">
        <v>2476768</v>
      </c>
      <c r="M1209" s="1" t="s">
        <v>1369</v>
      </c>
      <c r="N1209" s="5">
        <f>DATE(2018,2,5)</f>
        <v>43136</v>
      </c>
      <c r="O1209" s="5">
        <f>DATE(2020,12,23)</f>
        <v>44188</v>
      </c>
      <c r="P1209" s="5">
        <f t="shared" si="429"/>
        <v>45283</v>
      </c>
      <c r="Q1209" s="1">
        <v>3818</v>
      </c>
      <c r="R1209" s="1">
        <v>1200</v>
      </c>
      <c r="S1209" s="1">
        <f t="shared" si="430"/>
        <v>3200</v>
      </c>
      <c r="T1209" s="1">
        <v>2.5</v>
      </c>
      <c r="U1209" s="1" t="str">
        <f t="shared" si="431"/>
        <v>NÃO</v>
      </c>
      <c r="V1209" s="1">
        <f t="shared" si="432"/>
        <v>1053</v>
      </c>
      <c r="W1209" s="4">
        <f t="shared" si="433"/>
        <v>3.0389363722697058</v>
      </c>
      <c r="X1209" s="4">
        <f t="shared" si="434"/>
        <v>1109.2117758784427</v>
      </c>
      <c r="Y1209" s="4">
        <f t="shared" si="435"/>
        <v>1.3865147198480534</v>
      </c>
      <c r="AB1209" s="5">
        <f t="shared" si="436"/>
        <v>45292</v>
      </c>
      <c r="AC1209" s="5">
        <f t="shared" si="437"/>
        <v>45657</v>
      </c>
      <c r="AD1209" s="1">
        <v>1</v>
      </c>
      <c r="AE1209" s="1">
        <f t="shared" si="438"/>
        <v>0</v>
      </c>
      <c r="AF1209" s="1">
        <f t="shared" si="439"/>
        <v>0</v>
      </c>
      <c r="AG1209" s="1">
        <f t="shared" si="440"/>
        <v>0</v>
      </c>
      <c r="AH1209" s="1">
        <f t="shared" si="441"/>
        <v>0</v>
      </c>
      <c r="AI1209" s="1">
        <f t="shared" si="442"/>
        <v>183</v>
      </c>
      <c r="AJ1209" s="3">
        <f t="shared" si="443"/>
        <v>0.5</v>
      </c>
      <c r="AK1209" s="3">
        <f t="shared" si="444"/>
        <v>0.69325735992402671</v>
      </c>
      <c r="AL1209" s="3">
        <f t="shared" si="445"/>
        <v>0</v>
      </c>
      <c r="AM1209" s="3">
        <f t="shared" si="446"/>
        <v>0</v>
      </c>
      <c r="AN1209" s="3">
        <f t="shared" si="447"/>
        <v>0</v>
      </c>
      <c r="AO1209" s="3">
        <f t="shared" si="448"/>
        <v>0</v>
      </c>
      <c r="AP1209" s="1" t="str">
        <f>INDEX({"EAD";"EAD";"EAD";"EAD MOOC";"EAD";"EAD";"EAD FP";"EAD";"PRESENCIAL";"PRESENCIAL";"PRESENCIAL";"PRESENCIAL"}, MATCH(CONCATENATE(E1209, ".", F1209),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10" spans="1:42" x14ac:dyDescent="0.25">
      <c r="A1210" s="1" t="s">
        <v>27</v>
      </c>
      <c r="B1210" s="1" t="s">
        <v>62</v>
      </c>
      <c r="C1210" s="1" t="s">
        <v>29</v>
      </c>
      <c r="D1210" s="1" t="s">
        <v>63</v>
      </c>
      <c r="E1210" s="1" t="s">
        <v>120</v>
      </c>
      <c r="F1210" s="1" t="s">
        <v>21</v>
      </c>
      <c r="G1210" s="1" t="s">
        <v>140</v>
      </c>
      <c r="H1210" s="1" t="s">
        <v>1362</v>
      </c>
      <c r="I1210" s="1" t="s">
        <v>107</v>
      </c>
      <c r="J1210" s="1" t="s">
        <v>108</v>
      </c>
      <c r="K1210" s="1" t="s">
        <v>109</v>
      </c>
      <c r="L1210" s="1">
        <v>2478007</v>
      </c>
      <c r="M1210" s="1" t="s">
        <v>1370</v>
      </c>
      <c r="N1210" s="5">
        <f>DATE(2018,2,5)</f>
        <v>43136</v>
      </c>
      <c r="O1210" s="5">
        <f>DATE(2020,12,23)</f>
        <v>44188</v>
      </c>
      <c r="P1210" s="5">
        <f t="shared" si="429"/>
        <v>45283</v>
      </c>
      <c r="Q1210" s="1">
        <v>2939</v>
      </c>
      <c r="R1210" s="1">
        <v>2400</v>
      </c>
      <c r="S1210" s="1">
        <f t="shared" si="430"/>
        <v>2400</v>
      </c>
      <c r="T1210" s="1">
        <v>2.5</v>
      </c>
      <c r="U1210" s="1" t="str">
        <f t="shared" si="431"/>
        <v>NÃO</v>
      </c>
      <c r="V1210" s="1">
        <f t="shared" si="432"/>
        <v>1053</v>
      </c>
      <c r="W1210" s="4">
        <f t="shared" si="433"/>
        <v>2.2792022792022792</v>
      </c>
      <c r="X1210" s="4">
        <f t="shared" si="434"/>
        <v>831.90883190883187</v>
      </c>
      <c r="Y1210" s="4">
        <f t="shared" si="435"/>
        <v>1.0398860398860399</v>
      </c>
      <c r="AB1210" s="5">
        <f t="shared" si="436"/>
        <v>45292</v>
      </c>
      <c r="AC1210" s="5">
        <f t="shared" si="437"/>
        <v>45657</v>
      </c>
      <c r="AD1210" s="1">
        <v>2</v>
      </c>
      <c r="AE1210" s="1">
        <f t="shared" si="438"/>
        <v>0</v>
      </c>
      <c r="AF1210" s="1">
        <f t="shared" si="439"/>
        <v>0</v>
      </c>
      <c r="AG1210" s="1">
        <f t="shared" si="440"/>
        <v>0</v>
      </c>
      <c r="AH1210" s="1">
        <f t="shared" si="441"/>
        <v>0</v>
      </c>
      <c r="AI1210" s="1">
        <f t="shared" si="442"/>
        <v>183</v>
      </c>
      <c r="AJ1210" s="3">
        <f t="shared" si="443"/>
        <v>0.5</v>
      </c>
      <c r="AK1210" s="3">
        <f t="shared" si="444"/>
        <v>0.51994301994301995</v>
      </c>
      <c r="AL1210" s="3">
        <f t="shared" si="445"/>
        <v>0</v>
      </c>
      <c r="AM1210" s="3">
        <f t="shared" si="446"/>
        <v>0</v>
      </c>
      <c r="AN1210" s="3">
        <f t="shared" si="447"/>
        <v>0</v>
      </c>
      <c r="AO1210" s="3">
        <f t="shared" si="448"/>
        <v>0</v>
      </c>
      <c r="AP1210" s="1" t="str">
        <f>INDEX({"EAD";"EAD";"EAD";"EAD MOOC";"EAD";"EAD";"EAD FP";"EAD";"PRESENCIAL";"PRESENCIAL";"PRESENCIAL";"PRESENCIAL"}, MATCH(CONCATENATE(E1210, ".", F1210),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11" spans="1:42" x14ac:dyDescent="0.25">
      <c r="A1211" s="1" t="s">
        <v>27</v>
      </c>
      <c r="B1211" s="1" t="s">
        <v>62</v>
      </c>
      <c r="C1211" s="1" t="s">
        <v>29</v>
      </c>
      <c r="D1211" s="1" t="s">
        <v>63</v>
      </c>
      <c r="E1211" s="1" t="s">
        <v>120</v>
      </c>
      <c r="F1211" s="1" t="s">
        <v>21</v>
      </c>
      <c r="G1211" s="1" t="s">
        <v>121</v>
      </c>
      <c r="H1211" s="1" t="s">
        <v>1360</v>
      </c>
      <c r="I1211" s="1" t="s">
        <v>107</v>
      </c>
      <c r="J1211" s="1" t="s">
        <v>108</v>
      </c>
      <c r="K1211" s="1" t="s">
        <v>109</v>
      </c>
      <c r="L1211" s="1">
        <v>2478305</v>
      </c>
      <c r="M1211" s="1" t="s">
        <v>1371</v>
      </c>
      <c r="N1211" s="5">
        <f>DATE(2018,2,5)</f>
        <v>43136</v>
      </c>
      <c r="O1211" s="5">
        <f>DATE(2022,12,23)</f>
        <v>44918</v>
      </c>
      <c r="P1211" s="5">
        <f t="shared" si="429"/>
        <v>46013</v>
      </c>
      <c r="Q1211" s="1">
        <v>4579</v>
      </c>
      <c r="R1211" s="1">
        <v>3600</v>
      </c>
      <c r="S1211" s="1">
        <f t="shared" si="430"/>
        <v>3600</v>
      </c>
      <c r="T1211" s="1">
        <v>2.5</v>
      </c>
      <c r="U1211" s="1" t="str">
        <f t="shared" si="431"/>
        <v>SIM</v>
      </c>
      <c r="V1211" s="1">
        <f t="shared" si="432"/>
        <v>1783</v>
      </c>
      <c r="W1211" s="4">
        <f t="shared" si="433"/>
        <v>2.0190689848569825</v>
      </c>
      <c r="X1211" s="4">
        <f t="shared" si="434"/>
        <v>736.96017947279859</v>
      </c>
      <c r="Y1211" s="4">
        <f t="shared" si="435"/>
        <v>0.92120022434099824</v>
      </c>
      <c r="AB1211" s="5">
        <f t="shared" si="436"/>
        <v>45292</v>
      </c>
      <c r="AC1211" s="5">
        <f t="shared" si="437"/>
        <v>45657</v>
      </c>
      <c r="AD1211" s="1">
        <v>17</v>
      </c>
      <c r="AE1211" s="1">
        <f t="shared" si="438"/>
        <v>0</v>
      </c>
      <c r="AF1211" s="1">
        <f t="shared" si="439"/>
        <v>0</v>
      </c>
      <c r="AG1211" s="1">
        <f t="shared" si="440"/>
        <v>0</v>
      </c>
      <c r="AH1211" s="1">
        <f t="shared" si="441"/>
        <v>0</v>
      </c>
      <c r="AI1211" s="1">
        <f t="shared" si="442"/>
        <v>183</v>
      </c>
      <c r="AJ1211" s="3">
        <f t="shared" si="443"/>
        <v>0.5</v>
      </c>
      <c r="AK1211" s="3">
        <f t="shared" si="444"/>
        <v>0.46060011217049912</v>
      </c>
      <c r="AL1211" s="3">
        <f t="shared" si="445"/>
        <v>3.9151009534492425</v>
      </c>
      <c r="AM1211" s="3">
        <f t="shared" si="446"/>
        <v>9.787752383623106</v>
      </c>
      <c r="AN1211" s="3">
        <f t="shared" si="447"/>
        <v>4.893876191811553</v>
      </c>
      <c r="AO1211" s="3">
        <f t="shared" si="448"/>
        <v>14.681628575434658</v>
      </c>
      <c r="AP1211" s="1" t="str">
        <f>INDEX({"EAD";"EAD";"EAD";"EAD MOOC";"EAD";"EAD";"EAD FP";"EAD";"PRESENCIAL";"PRESENCIAL";"PRESENCIAL";"PRESENCIAL"}, MATCH(CONCATENATE(E1211, ".", F1211),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12" spans="1:42" x14ac:dyDescent="0.25">
      <c r="A1212" s="1" t="s">
        <v>27</v>
      </c>
      <c r="B1212" s="1" t="s">
        <v>62</v>
      </c>
      <c r="C1212" s="1" t="s">
        <v>29</v>
      </c>
      <c r="D1212" s="1" t="s">
        <v>63</v>
      </c>
      <c r="E1212" s="1" t="s">
        <v>120</v>
      </c>
      <c r="F1212" s="1" t="s">
        <v>21</v>
      </c>
      <c r="G1212" s="1" t="s">
        <v>128</v>
      </c>
      <c r="H1212" s="1" t="s">
        <v>227</v>
      </c>
      <c r="I1212" s="1" t="s">
        <v>228</v>
      </c>
      <c r="J1212" s="1" t="s">
        <v>125</v>
      </c>
      <c r="K1212" s="1" t="s">
        <v>130</v>
      </c>
      <c r="L1212" s="1">
        <v>2571289</v>
      </c>
      <c r="M1212" s="1" t="s">
        <v>1372</v>
      </c>
      <c r="N1212" s="5">
        <f>DATE(2019,2,4)</f>
        <v>43500</v>
      </c>
      <c r="O1212" s="5">
        <f>DATE(2021,12,20)</f>
        <v>44550</v>
      </c>
      <c r="P1212" s="5">
        <f t="shared" si="429"/>
        <v>45645</v>
      </c>
      <c r="Q1212" s="1">
        <v>3886</v>
      </c>
      <c r="R1212" s="1">
        <v>1200</v>
      </c>
      <c r="S1212" s="1">
        <f t="shared" si="430"/>
        <v>3200</v>
      </c>
      <c r="T1212" s="1">
        <v>2.5</v>
      </c>
      <c r="U1212" s="1" t="str">
        <f t="shared" si="431"/>
        <v>SIM</v>
      </c>
      <c r="V1212" s="1">
        <f t="shared" si="432"/>
        <v>1051</v>
      </c>
      <c r="W1212" s="4">
        <f t="shared" si="433"/>
        <v>3.044719314938154</v>
      </c>
      <c r="X1212" s="4">
        <f t="shared" si="434"/>
        <v>1111.3225499524262</v>
      </c>
      <c r="Y1212" s="4">
        <f t="shared" si="435"/>
        <v>1.3891531874405327</v>
      </c>
      <c r="AB1212" s="5">
        <f t="shared" si="436"/>
        <v>45292</v>
      </c>
      <c r="AC1212" s="5">
        <f t="shared" si="437"/>
        <v>45657</v>
      </c>
      <c r="AD1212" s="1">
        <v>4</v>
      </c>
      <c r="AE1212" s="1">
        <f t="shared" si="438"/>
        <v>0</v>
      </c>
      <c r="AF1212" s="1">
        <f t="shared" si="439"/>
        <v>0</v>
      </c>
      <c r="AG1212" s="1">
        <f t="shared" si="440"/>
        <v>0</v>
      </c>
      <c r="AH1212" s="1">
        <f t="shared" si="441"/>
        <v>0</v>
      </c>
      <c r="AI1212" s="1">
        <f t="shared" si="442"/>
        <v>183</v>
      </c>
      <c r="AJ1212" s="3">
        <f t="shared" si="443"/>
        <v>0.5</v>
      </c>
      <c r="AK1212" s="3">
        <f t="shared" si="444"/>
        <v>0.69457659372026637</v>
      </c>
      <c r="AL1212" s="3">
        <f t="shared" si="445"/>
        <v>1.3891531874405327</v>
      </c>
      <c r="AM1212" s="3">
        <f t="shared" si="446"/>
        <v>3.4728829686013318</v>
      </c>
      <c r="AN1212" s="3">
        <f t="shared" si="447"/>
        <v>0</v>
      </c>
      <c r="AO1212" s="3">
        <f t="shared" si="448"/>
        <v>3.4728829686013318</v>
      </c>
      <c r="AP1212" s="1" t="str">
        <f>INDEX({"EAD";"EAD";"EAD";"EAD MOOC";"EAD";"EAD";"EAD FP";"EAD";"PRESENCIAL";"PRESENCIAL";"PRESENCIAL";"PRESENCIAL"}, MATCH(CONCATENATE(E1212, ".", F1212),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13" spans="1:42" x14ac:dyDescent="0.25">
      <c r="A1213" s="1" t="s">
        <v>27</v>
      </c>
      <c r="B1213" s="1" t="s">
        <v>62</v>
      </c>
      <c r="C1213" s="1" t="s">
        <v>29</v>
      </c>
      <c r="D1213" s="1" t="s">
        <v>63</v>
      </c>
      <c r="E1213" s="1" t="s">
        <v>120</v>
      </c>
      <c r="F1213" s="1" t="s">
        <v>21</v>
      </c>
      <c r="G1213" s="1" t="s">
        <v>121</v>
      </c>
      <c r="H1213" s="1" t="s">
        <v>1360</v>
      </c>
      <c r="I1213" s="1" t="s">
        <v>107</v>
      </c>
      <c r="J1213" s="1" t="s">
        <v>108</v>
      </c>
      <c r="K1213" s="1" t="s">
        <v>109</v>
      </c>
      <c r="L1213" s="1">
        <v>2573182</v>
      </c>
      <c r="M1213" s="1" t="s">
        <v>1373</v>
      </c>
      <c r="N1213" s="5">
        <f>DATE(2019,2,4)</f>
        <v>43500</v>
      </c>
      <c r="O1213" s="5">
        <f>DATE(2023,12,20)</f>
        <v>45280</v>
      </c>
      <c r="P1213" s="5">
        <f t="shared" si="429"/>
        <v>46375</v>
      </c>
      <c r="Q1213" s="1">
        <v>4579</v>
      </c>
      <c r="R1213" s="1">
        <v>3600</v>
      </c>
      <c r="S1213" s="1">
        <f t="shared" si="430"/>
        <v>3600</v>
      </c>
      <c r="T1213" s="1">
        <v>2.5</v>
      </c>
      <c r="U1213" s="1" t="str">
        <f t="shared" si="431"/>
        <v>SIM</v>
      </c>
      <c r="V1213" s="1">
        <f t="shared" si="432"/>
        <v>1781</v>
      </c>
      <c r="W1213" s="4">
        <f t="shared" si="433"/>
        <v>2.0213363279056709</v>
      </c>
      <c r="X1213" s="4">
        <f t="shared" si="434"/>
        <v>737.78775968556988</v>
      </c>
      <c r="Y1213" s="4">
        <f t="shared" si="435"/>
        <v>0.92223469960696236</v>
      </c>
      <c r="AB1213" s="5">
        <f t="shared" si="436"/>
        <v>45292</v>
      </c>
      <c r="AC1213" s="5">
        <f t="shared" si="437"/>
        <v>45657</v>
      </c>
      <c r="AD1213" s="1">
        <v>27</v>
      </c>
      <c r="AE1213" s="1">
        <f t="shared" si="438"/>
        <v>0</v>
      </c>
      <c r="AF1213" s="1">
        <f t="shared" si="439"/>
        <v>0</v>
      </c>
      <c r="AG1213" s="1">
        <f t="shared" si="440"/>
        <v>0</v>
      </c>
      <c r="AH1213" s="1">
        <f t="shared" si="441"/>
        <v>0</v>
      </c>
      <c r="AI1213" s="1">
        <f t="shared" si="442"/>
        <v>183</v>
      </c>
      <c r="AJ1213" s="3">
        <f t="shared" si="443"/>
        <v>0.5</v>
      </c>
      <c r="AK1213" s="3">
        <f t="shared" si="444"/>
        <v>0.46111734980348118</v>
      </c>
      <c r="AL1213" s="3">
        <f t="shared" si="445"/>
        <v>6.2250842223469958</v>
      </c>
      <c r="AM1213" s="3">
        <f t="shared" si="446"/>
        <v>15.56271055586749</v>
      </c>
      <c r="AN1213" s="3">
        <f t="shared" si="447"/>
        <v>7.7813552779337449</v>
      </c>
      <c r="AO1213" s="3">
        <f t="shared" si="448"/>
        <v>23.344065833801235</v>
      </c>
      <c r="AP1213" s="1" t="str">
        <f>INDEX({"EAD";"EAD";"EAD";"EAD MOOC";"EAD";"EAD";"EAD FP";"EAD";"PRESENCIAL";"PRESENCIAL";"PRESENCIAL";"PRESENCIAL"}, MATCH(CONCATENATE(E1213, ".", F1213),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14" spans="1:42" x14ac:dyDescent="0.25">
      <c r="A1214" s="1" t="s">
        <v>27</v>
      </c>
      <c r="B1214" s="1" t="s">
        <v>62</v>
      </c>
      <c r="C1214" s="1" t="s">
        <v>29</v>
      </c>
      <c r="D1214" s="1" t="s">
        <v>63</v>
      </c>
      <c r="E1214" s="1" t="s">
        <v>120</v>
      </c>
      <c r="F1214" s="1" t="s">
        <v>21</v>
      </c>
      <c r="G1214" s="1" t="s">
        <v>140</v>
      </c>
      <c r="H1214" s="1" t="s">
        <v>1362</v>
      </c>
      <c r="I1214" s="1" t="s">
        <v>107</v>
      </c>
      <c r="J1214" s="1" t="s">
        <v>108</v>
      </c>
      <c r="K1214" s="1" t="s">
        <v>109</v>
      </c>
      <c r="L1214" s="1">
        <v>2573286</v>
      </c>
      <c r="M1214" s="1" t="s">
        <v>1374</v>
      </c>
      <c r="N1214" s="5">
        <f>DATE(2019,2,4)</f>
        <v>43500</v>
      </c>
      <c r="O1214" s="5">
        <f>DATE(2021,12,20)</f>
        <v>44550</v>
      </c>
      <c r="P1214" s="5">
        <f t="shared" si="429"/>
        <v>45645</v>
      </c>
      <c r="Q1214" s="1">
        <v>2640</v>
      </c>
      <c r="R1214" s="1">
        <v>2400</v>
      </c>
      <c r="S1214" s="1">
        <f t="shared" si="430"/>
        <v>2400</v>
      </c>
      <c r="T1214" s="1">
        <v>2.5</v>
      </c>
      <c r="U1214" s="1" t="str">
        <f t="shared" si="431"/>
        <v>SIM</v>
      </c>
      <c r="V1214" s="1">
        <f t="shared" si="432"/>
        <v>1051</v>
      </c>
      <c r="W1214" s="4">
        <f t="shared" si="433"/>
        <v>2.2835394862036158</v>
      </c>
      <c r="X1214" s="4">
        <f t="shared" si="434"/>
        <v>833.49191246431974</v>
      </c>
      <c r="Y1214" s="4">
        <f t="shared" si="435"/>
        <v>1.0418648905803998</v>
      </c>
      <c r="AB1214" s="5">
        <f t="shared" si="436"/>
        <v>45292</v>
      </c>
      <c r="AC1214" s="5">
        <f t="shared" si="437"/>
        <v>45657</v>
      </c>
      <c r="AD1214" s="1">
        <v>7</v>
      </c>
      <c r="AE1214" s="1">
        <f t="shared" si="438"/>
        <v>0</v>
      </c>
      <c r="AF1214" s="1">
        <f t="shared" si="439"/>
        <v>0</v>
      </c>
      <c r="AG1214" s="1">
        <f t="shared" si="440"/>
        <v>0</v>
      </c>
      <c r="AH1214" s="1">
        <f t="shared" si="441"/>
        <v>0</v>
      </c>
      <c r="AI1214" s="1">
        <f t="shared" si="442"/>
        <v>183</v>
      </c>
      <c r="AJ1214" s="3">
        <f t="shared" si="443"/>
        <v>0.5</v>
      </c>
      <c r="AK1214" s="3">
        <f t="shared" si="444"/>
        <v>0.52093244529019989</v>
      </c>
      <c r="AL1214" s="3">
        <f t="shared" si="445"/>
        <v>1.8232635585156995</v>
      </c>
      <c r="AM1214" s="3">
        <f t="shared" si="446"/>
        <v>4.5581588962892488</v>
      </c>
      <c r="AN1214" s="3">
        <f t="shared" si="447"/>
        <v>2.2790794481446244</v>
      </c>
      <c r="AO1214" s="3">
        <f t="shared" si="448"/>
        <v>6.8372383444338727</v>
      </c>
      <c r="AP1214" s="1" t="str">
        <f>INDEX({"EAD";"EAD";"EAD";"EAD MOOC";"EAD";"EAD";"EAD FP";"EAD";"PRESENCIAL";"PRESENCIAL";"PRESENCIAL";"PRESENCIAL"}, MATCH(CONCATENATE(E1214, ".", F1214),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15" spans="1:42" x14ac:dyDescent="0.25">
      <c r="A1215" s="1" t="s">
        <v>27</v>
      </c>
      <c r="B1215" s="1" t="s">
        <v>62</v>
      </c>
      <c r="C1215" s="1" t="s">
        <v>29</v>
      </c>
      <c r="D1215" s="1" t="s">
        <v>63</v>
      </c>
      <c r="E1215" s="1" t="s">
        <v>120</v>
      </c>
      <c r="F1215" s="1" t="s">
        <v>21</v>
      </c>
      <c r="G1215" s="1" t="s">
        <v>140</v>
      </c>
      <c r="H1215" s="1" t="s">
        <v>865</v>
      </c>
      <c r="I1215" s="1" t="s">
        <v>224</v>
      </c>
      <c r="J1215" s="1" t="s">
        <v>125</v>
      </c>
      <c r="K1215" s="1" t="s">
        <v>109</v>
      </c>
      <c r="L1215" s="1">
        <v>2573288</v>
      </c>
      <c r="M1215" s="1" t="s">
        <v>1375</v>
      </c>
      <c r="N1215" s="5">
        <f>DATE(2019,2,4)</f>
        <v>43500</v>
      </c>
      <c r="O1215" s="5">
        <f>DATE(2021,12,20)</f>
        <v>44550</v>
      </c>
      <c r="P1215" s="5">
        <f t="shared" si="429"/>
        <v>45645</v>
      </c>
      <c r="Q1215" s="1">
        <v>2085</v>
      </c>
      <c r="R1215" s="1">
        <v>1600</v>
      </c>
      <c r="S1215" s="1">
        <f t="shared" si="430"/>
        <v>1600</v>
      </c>
      <c r="T1215" s="1">
        <v>1</v>
      </c>
      <c r="U1215" s="1" t="str">
        <f t="shared" si="431"/>
        <v>SIM</v>
      </c>
      <c r="V1215" s="1">
        <f t="shared" si="432"/>
        <v>1051</v>
      </c>
      <c r="W1215" s="4">
        <f t="shared" si="433"/>
        <v>1.522359657469077</v>
      </c>
      <c r="X1215" s="4">
        <f t="shared" si="434"/>
        <v>555.66127497621312</v>
      </c>
      <c r="Y1215" s="4">
        <f t="shared" si="435"/>
        <v>0.69457659372026637</v>
      </c>
      <c r="AB1215" s="5">
        <f t="shared" si="436"/>
        <v>45292</v>
      </c>
      <c r="AC1215" s="5">
        <f t="shared" si="437"/>
        <v>45657</v>
      </c>
      <c r="AD1215" s="1">
        <v>6</v>
      </c>
      <c r="AE1215" s="1">
        <f t="shared" si="438"/>
        <v>0</v>
      </c>
      <c r="AF1215" s="1">
        <f t="shared" si="439"/>
        <v>0</v>
      </c>
      <c r="AG1215" s="1">
        <f t="shared" si="440"/>
        <v>0</v>
      </c>
      <c r="AH1215" s="1">
        <f t="shared" si="441"/>
        <v>0</v>
      </c>
      <c r="AI1215" s="1">
        <f t="shared" si="442"/>
        <v>183</v>
      </c>
      <c r="AJ1215" s="3">
        <f t="shared" si="443"/>
        <v>0.5</v>
      </c>
      <c r="AK1215" s="3">
        <f t="shared" si="444"/>
        <v>0.34728829686013318</v>
      </c>
      <c r="AL1215" s="3">
        <f t="shared" si="445"/>
        <v>1.0418648905803995</v>
      </c>
      <c r="AM1215" s="3">
        <f t="shared" si="446"/>
        <v>1.0418648905803995</v>
      </c>
      <c r="AN1215" s="3">
        <f t="shared" si="447"/>
        <v>0</v>
      </c>
      <c r="AO1215" s="3">
        <f t="shared" si="448"/>
        <v>1.0418648905803995</v>
      </c>
      <c r="AP1215" s="1" t="str">
        <f>INDEX({"EAD";"EAD";"EAD";"EAD MOOC";"EAD";"EAD";"EAD FP";"EAD";"PRESENCIAL";"PRESENCIAL";"PRESENCIAL";"PRESENCIAL"}, MATCH(CONCATENATE(E1215, ".", F1215),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16" spans="1:42" x14ac:dyDescent="0.25">
      <c r="A1216" s="1" t="s">
        <v>27</v>
      </c>
      <c r="B1216" s="1" t="s">
        <v>62</v>
      </c>
      <c r="C1216" s="1" t="s">
        <v>29</v>
      </c>
      <c r="D1216" s="1" t="s">
        <v>63</v>
      </c>
      <c r="E1216" s="1" t="s">
        <v>120</v>
      </c>
      <c r="F1216" s="1" t="s">
        <v>21</v>
      </c>
      <c r="G1216" s="1" t="s">
        <v>128</v>
      </c>
      <c r="H1216" s="1" t="s">
        <v>132</v>
      </c>
      <c r="I1216" s="1" t="s">
        <v>107</v>
      </c>
      <c r="J1216" s="1" t="s">
        <v>108</v>
      </c>
      <c r="K1216" s="1" t="s">
        <v>130</v>
      </c>
      <c r="L1216" s="1">
        <v>2675278</v>
      </c>
      <c r="M1216" s="1" t="s">
        <v>1283</v>
      </c>
      <c r="N1216" s="5">
        <f>DATE(2020,2,3)</f>
        <v>43864</v>
      </c>
      <c r="O1216" s="5">
        <f>DATE(2022,12,20)</f>
        <v>44915</v>
      </c>
      <c r="P1216" s="5">
        <f t="shared" si="429"/>
        <v>46010</v>
      </c>
      <c r="Q1216" s="1">
        <v>3818</v>
      </c>
      <c r="R1216" s="1">
        <v>1200</v>
      </c>
      <c r="S1216" s="1">
        <f t="shared" si="430"/>
        <v>3200</v>
      </c>
      <c r="T1216" s="1">
        <v>2.5</v>
      </c>
      <c r="U1216" s="1" t="str">
        <f t="shared" si="431"/>
        <v>SIM</v>
      </c>
      <c r="V1216" s="1">
        <f t="shared" si="432"/>
        <v>1052</v>
      </c>
      <c r="W1216" s="4">
        <f t="shared" si="433"/>
        <v>3.041825095057034</v>
      </c>
      <c r="X1216" s="4">
        <f t="shared" si="434"/>
        <v>1110.2661596958174</v>
      </c>
      <c r="Y1216" s="4">
        <f t="shared" si="435"/>
        <v>1.3878326996197716</v>
      </c>
      <c r="AB1216" s="5">
        <f t="shared" si="436"/>
        <v>45292</v>
      </c>
      <c r="AC1216" s="5">
        <f t="shared" si="437"/>
        <v>45657</v>
      </c>
      <c r="AD1216" s="1">
        <v>3</v>
      </c>
      <c r="AE1216" s="1">
        <f t="shared" si="438"/>
        <v>0</v>
      </c>
      <c r="AF1216" s="1">
        <f t="shared" si="439"/>
        <v>0</v>
      </c>
      <c r="AG1216" s="1">
        <f t="shared" si="440"/>
        <v>0</v>
      </c>
      <c r="AH1216" s="1">
        <f t="shared" si="441"/>
        <v>0</v>
      </c>
      <c r="AI1216" s="1">
        <f t="shared" si="442"/>
        <v>183</v>
      </c>
      <c r="AJ1216" s="3">
        <f t="shared" si="443"/>
        <v>0.5</v>
      </c>
      <c r="AK1216" s="3">
        <f t="shared" si="444"/>
        <v>0.69391634980988581</v>
      </c>
      <c r="AL1216" s="3">
        <f t="shared" si="445"/>
        <v>1.0408745247148288</v>
      </c>
      <c r="AM1216" s="3">
        <f t="shared" si="446"/>
        <v>2.6021863117870718</v>
      </c>
      <c r="AN1216" s="3">
        <f t="shared" si="447"/>
        <v>1.3010931558935359</v>
      </c>
      <c r="AO1216" s="3">
        <f t="shared" si="448"/>
        <v>3.9032794676806075</v>
      </c>
      <c r="AP1216" s="1" t="str">
        <f>INDEX({"EAD";"EAD";"EAD";"EAD MOOC";"EAD";"EAD";"EAD FP";"EAD";"PRESENCIAL";"PRESENCIAL";"PRESENCIAL";"PRESENCIAL"}, MATCH(CONCATENATE(E1216, ".", F1216),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17" spans="1:42" x14ac:dyDescent="0.25">
      <c r="A1217" s="1" t="s">
        <v>27</v>
      </c>
      <c r="B1217" s="1" t="s">
        <v>62</v>
      </c>
      <c r="C1217" s="1" t="s">
        <v>29</v>
      </c>
      <c r="D1217" s="1" t="s">
        <v>63</v>
      </c>
      <c r="E1217" s="1" t="s">
        <v>120</v>
      </c>
      <c r="F1217" s="1" t="s">
        <v>21</v>
      </c>
      <c r="G1217" s="1" t="s">
        <v>128</v>
      </c>
      <c r="H1217" s="1" t="s">
        <v>227</v>
      </c>
      <c r="I1217" s="1" t="s">
        <v>228</v>
      </c>
      <c r="J1217" s="1" t="s">
        <v>125</v>
      </c>
      <c r="K1217" s="1" t="s">
        <v>130</v>
      </c>
      <c r="L1217" s="1">
        <v>2675280</v>
      </c>
      <c r="M1217" s="1" t="s">
        <v>1376</v>
      </c>
      <c r="N1217" s="5">
        <f>DATE(2020,2,3)</f>
        <v>43864</v>
      </c>
      <c r="O1217" s="5">
        <f>DATE(2022,12,20)</f>
        <v>44915</v>
      </c>
      <c r="P1217" s="5">
        <f t="shared" si="429"/>
        <v>46010</v>
      </c>
      <c r="Q1217" s="1">
        <v>3886</v>
      </c>
      <c r="R1217" s="1">
        <v>1200</v>
      </c>
      <c r="S1217" s="1">
        <f t="shared" si="430"/>
        <v>3200</v>
      </c>
      <c r="T1217" s="1">
        <v>2.5</v>
      </c>
      <c r="U1217" s="1" t="str">
        <f t="shared" si="431"/>
        <v>SIM</v>
      </c>
      <c r="V1217" s="1">
        <f t="shared" si="432"/>
        <v>1052</v>
      </c>
      <c r="W1217" s="4">
        <f t="shared" si="433"/>
        <v>3.041825095057034</v>
      </c>
      <c r="X1217" s="4">
        <f t="shared" si="434"/>
        <v>1110.2661596958174</v>
      </c>
      <c r="Y1217" s="4">
        <f t="shared" si="435"/>
        <v>1.3878326996197716</v>
      </c>
      <c r="AB1217" s="5">
        <f t="shared" si="436"/>
        <v>45292</v>
      </c>
      <c r="AC1217" s="5">
        <f t="shared" si="437"/>
        <v>45657</v>
      </c>
      <c r="AD1217" s="1">
        <v>3</v>
      </c>
      <c r="AE1217" s="1">
        <f t="shared" si="438"/>
        <v>0</v>
      </c>
      <c r="AF1217" s="1">
        <f t="shared" si="439"/>
        <v>0</v>
      </c>
      <c r="AG1217" s="1">
        <f t="shared" si="440"/>
        <v>0</v>
      </c>
      <c r="AH1217" s="1">
        <f t="shared" si="441"/>
        <v>0</v>
      </c>
      <c r="AI1217" s="1">
        <f t="shared" si="442"/>
        <v>183</v>
      </c>
      <c r="AJ1217" s="3">
        <f t="shared" si="443"/>
        <v>0.5</v>
      </c>
      <c r="AK1217" s="3">
        <f t="shared" si="444"/>
        <v>0.69391634980988581</v>
      </c>
      <c r="AL1217" s="3">
        <f t="shared" si="445"/>
        <v>1.0408745247148288</v>
      </c>
      <c r="AM1217" s="3">
        <f t="shared" si="446"/>
        <v>2.6021863117870718</v>
      </c>
      <c r="AN1217" s="3">
        <f t="shared" si="447"/>
        <v>0</v>
      </c>
      <c r="AO1217" s="3">
        <f t="shared" si="448"/>
        <v>2.6021863117870718</v>
      </c>
      <c r="AP1217" s="1" t="str">
        <f>INDEX({"EAD";"EAD";"EAD";"EAD MOOC";"EAD";"EAD";"EAD FP";"EAD";"PRESENCIAL";"PRESENCIAL";"PRESENCIAL";"PRESENCIAL"}, MATCH(CONCATENATE(E1217, ".", F1217),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18" spans="1:42" x14ac:dyDescent="0.25">
      <c r="A1218" s="1" t="s">
        <v>27</v>
      </c>
      <c r="B1218" s="1" t="s">
        <v>62</v>
      </c>
      <c r="C1218" s="1" t="s">
        <v>29</v>
      </c>
      <c r="D1218" s="1" t="s">
        <v>63</v>
      </c>
      <c r="E1218" s="1" t="s">
        <v>120</v>
      </c>
      <c r="F1218" s="1" t="s">
        <v>21</v>
      </c>
      <c r="G1218" s="1" t="s">
        <v>121</v>
      </c>
      <c r="H1218" s="1" t="s">
        <v>1360</v>
      </c>
      <c r="I1218" s="1" t="s">
        <v>107</v>
      </c>
      <c r="J1218" s="1" t="s">
        <v>108</v>
      </c>
      <c r="K1218" s="1" t="s">
        <v>109</v>
      </c>
      <c r="L1218" s="1">
        <v>2675557</v>
      </c>
      <c r="M1218" s="1" t="s">
        <v>1377</v>
      </c>
      <c r="N1218" s="5">
        <f>DATE(2020,2,3)</f>
        <v>43864</v>
      </c>
      <c r="O1218" s="5">
        <f>DATE(2024,12,20)</f>
        <v>45646</v>
      </c>
      <c r="P1218" s="5">
        <f t="shared" si="429"/>
        <v>46741</v>
      </c>
      <c r="Q1218" s="1">
        <v>4579</v>
      </c>
      <c r="R1218" s="1">
        <v>3600</v>
      </c>
      <c r="S1218" s="1">
        <f t="shared" si="430"/>
        <v>3600</v>
      </c>
      <c r="T1218" s="1">
        <v>2.5</v>
      </c>
      <c r="U1218" s="1" t="str">
        <f t="shared" si="431"/>
        <v>SIM</v>
      </c>
      <c r="V1218" s="1">
        <f t="shared" si="432"/>
        <v>1783</v>
      </c>
      <c r="W1218" s="4">
        <f t="shared" si="433"/>
        <v>2.0190689848569825</v>
      </c>
      <c r="X1218" s="4">
        <f t="shared" si="434"/>
        <v>736.96017947279859</v>
      </c>
      <c r="Y1218" s="4">
        <f t="shared" si="435"/>
        <v>0.92120022434099824</v>
      </c>
      <c r="AB1218" s="5">
        <f t="shared" si="436"/>
        <v>45292</v>
      </c>
      <c r="AC1218" s="5">
        <f t="shared" si="437"/>
        <v>45657</v>
      </c>
      <c r="AD1218" s="1">
        <v>31</v>
      </c>
      <c r="AE1218" s="1">
        <f t="shared" si="438"/>
        <v>0</v>
      </c>
      <c r="AF1218" s="1">
        <f t="shared" si="439"/>
        <v>0</v>
      </c>
      <c r="AG1218" s="1">
        <f t="shared" si="440"/>
        <v>355</v>
      </c>
      <c r="AH1218" s="1">
        <f t="shared" si="441"/>
        <v>0</v>
      </c>
      <c r="AI1218" s="1">
        <f t="shared" si="442"/>
        <v>0</v>
      </c>
      <c r="AJ1218" s="3">
        <f t="shared" si="443"/>
        <v>0.9699453551912568</v>
      </c>
      <c r="AK1218" s="3">
        <f t="shared" si="444"/>
        <v>0.89351387880069499</v>
      </c>
      <c r="AL1218" s="3">
        <f t="shared" si="445"/>
        <v>27.698930242821543</v>
      </c>
      <c r="AM1218" s="3">
        <f t="shared" si="446"/>
        <v>69.247325607053853</v>
      </c>
      <c r="AN1218" s="3">
        <f t="shared" si="447"/>
        <v>34.623662803526926</v>
      </c>
      <c r="AO1218" s="3">
        <f t="shared" si="448"/>
        <v>103.87098841058078</v>
      </c>
      <c r="AP1218" s="1" t="str">
        <f>INDEX({"EAD";"EAD";"EAD";"EAD MOOC";"EAD";"EAD";"EAD FP";"EAD";"PRESENCIAL";"PRESENCIAL";"PRESENCIAL";"PRESENCIAL"}, MATCH(CONCATENATE(E1218, ".", F1218),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19" spans="1:42" x14ac:dyDescent="0.25">
      <c r="A1219" s="1" t="s">
        <v>27</v>
      </c>
      <c r="B1219" s="1" t="s">
        <v>62</v>
      </c>
      <c r="C1219" s="1" t="s">
        <v>29</v>
      </c>
      <c r="D1219" s="1" t="s">
        <v>63</v>
      </c>
      <c r="E1219" s="1" t="s">
        <v>120</v>
      </c>
      <c r="F1219" s="1" t="s">
        <v>21</v>
      </c>
      <c r="G1219" s="1" t="s">
        <v>140</v>
      </c>
      <c r="H1219" s="1" t="s">
        <v>1362</v>
      </c>
      <c r="I1219" s="1" t="s">
        <v>107</v>
      </c>
      <c r="J1219" s="1" t="s">
        <v>108</v>
      </c>
      <c r="K1219" s="1" t="s">
        <v>109</v>
      </c>
      <c r="L1219" s="1">
        <v>2675564</v>
      </c>
      <c r="M1219" s="1" t="s">
        <v>1378</v>
      </c>
      <c r="N1219" s="5">
        <f>DATE(2020,2,3)</f>
        <v>43864</v>
      </c>
      <c r="O1219" s="5">
        <f>DATE(2022,12,20)</f>
        <v>44915</v>
      </c>
      <c r="P1219" s="5">
        <f t="shared" si="429"/>
        <v>46010</v>
      </c>
      <c r="Q1219" s="1">
        <v>2640</v>
      </c>
      <c r="R1219" s="1">
        <v>2400</v>
      </c>
      <c r="S1219" s="1">
        <f t="shared" si="430"/>
        <v>2400</v>
      </c>
      <c r="T1219" s="1">
        <v>2.5</v>
      </c>
      <c r="U1219" s="1" t="str">
        <f t="shared" si="431"/>
        <v>SIM</v>
      </c>
      <c r="V1219" s="1">
        <f t="shared" si="432"/>
        <v>1052</v>
      </c>
      <c r="W1219" s="4">
        <f t="shared" si="433"/>
        <v>2.2813688212927756</v>
      </c>
      <c r="X1219" s="4">
        <f t="shared" si="434"/>
        <v>832.69961977186313</v>
      </c>
      <c r="Y1219" s="4">
        <f t="shared" si="435"/>
        <v>1.040874524714829</v>
      </c>
      <c r="AB1219" s="5">
        <f t="shared" si="436"/>
        <v>45292</v>
      </c>
      <c r="AC1219" s="5">
        <f t="shared" si="437"/>
        <v>45657</v>
      </c>
      <c r="AD1219" s="1">
        <v>9</v>
      </c>
      <c r="AE1219" s="1">
        <f t="shared" si="438"/>
        <v>0</v>
      </c>
      <c r="AF1219" s="1">
        <f t="shared" si="439"/>
        <v>0</v>
      </c>
      <c r="AG1219" s="1">
        <f t="shared" si="440"/>
        <v>0</v>
      </c>
      <c r="AH1219" s="1">
        <f t="shared" si="441"/>
        <v>0</v>
      </c>
      <c r="AI1219" s="1">
        <f t="shared" si="442"/>
        <v>183</v>
      </c>
      <c r="AJ1219" s="3">
        <f t="shared" si="443"/>
        <v>0.5</v>
      </c>
      <c r="AK1219" s="3">
        <f t="shared" si="444"/>
        <v>0.5204372623574145</v>
      </c>
      <c r="AL1219" s="3">
        <f t="shared" si="445"/>
        <v>2.3419676806083651</v>
      </c>
      <c r="AM1219" s="3">
        <f t="shared" si="446"/>
        <v>5.8549192015209126</v>
      </c>
      <c r="AN1219" s="3">
        <f t="shared" si="447"/>
        <v>2.9274596007604563</v>
      </c>
      <c r="AO1219" s="3">
        <f t="shared" si="448"/>
        <v>8.782378802281368</v>
      </c>
      <c r="AP1219" s="1" t="str">
        <f>INDEX({"EAD";"EAD";"EAD";"EAD MOOC";"EAD";"EAD";"EAD FP";"EAD";"PRESENCIAL";"PRESENCIAL";"PRESENCIAL";"PRESENCIAL"}, MATCH(CONCATENATE(E1219, ".", F1219),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20" spans="1:42" x14ac:dyDescent="0.25">
      <c r="A1220" s="1" t="s">
        <v>27</v>
      </c>
      <c r="B1220" s="1" t="s">
        <v>62</v>
      </c>
      <c r="C1220" s="1" t="s">
        <v>29</v>
      </c>
      <c r="D1220" s="1" t="s">
        <v>63</v>
      </c>
      <c r="E1220" s="1" t="s">
        <v>120</v>
      </c>
      <c r="F1220" s="1" t="s">
        <v>21</v>
      </c>
      <c r="G1220" s="1" t="s">
        <v>140</v>
      </c>
      <c r="H1220" s="1" t="s">
        <v>865</v>
      </c>
      <c r="I1220" s="1" t="s">
        <v>224</v>
      </c>
      <c r="J1220" s="1" t="s">
        <v>125</v>
      </c>
      <c r="K1220" s="1" t="s">
        <v>109</v>
      </c>
      <c r="L1220" s="1">
        <v>2675565</v>
      </c>
      <c r="M1220" s="1" t="s">
        <v>1379</v>
      </c>
      <c r="N1220" s="5">
        <f>DATE(2020,2,3)</f>
        <v>43864</v>
      </c>
      <c r="O1220" s="5">
        <f>DATE(2022,12,20)</f>
        <v>44915</v>
      </c>
      <c r="P1220" s="5">
        <f t="shared" ref="P1220:P1283" si="449">IF(G1220="QUALIFICACAO PROFISSIONAL (FIC)",O1220,O1220+1095)</f>
        <v>46010</v>
      </c>
      <c r="Q1220" s="1">
        <v>2085</v>
      </c>
      <c r="R1220" s="1">
        <v>1600</v>
      </c>
      <c r="S1220" s="1">
        <f t="shared" ref="S1220:S1283" si="450">IF(OR(G1220="QUALIFICACAO PROFISSIONAL (FIC)",G1220="DOUTORADO"),Q1220,    IF(ISNUMBER(FIND("PROEJA",K1220)),2400,        IF(K1220="INTEGRADO",            IF(R1220=800,3000,                IF(R1220=1000,3100,                    IF(R1220=1200,3200,R1220)                )            ),            R1220        )    ))</f>
        <v>1600</v>
      </c>
      <c r="T1220" s="1">
        <v>1</v>
      </c>
      <c r="U1220" s="1" t="str">
        <f t="shared" ref="U1220:U1283" si="451">IF(P1220&lt;AB1220,"NÃO","SIM")</f>
        <v>SIM</v>
      </c>
      <c r="V1220" s="1">
        <f t="shared" ref="V1220:V1283" si="452">O1220-N1220+1</f>
        <v>1052</v>
      </c>
      <c r="W1220" s="4">
        <f t="shared" ref="W1220:W1283" si="453">IF(S1220&gt;Q1220,Q1220,S1220)/V1220</f>
        <v>1.520912547528517</v>
      </c>
      <c r="X1220" s="4">
        <f t="shared" ref="X1220:X1283" si="454">IF(V1220&gt;365,W1220*365,S1220)</f>
        <v>555.13307984790868</v>
      </c>
      <c r="Y1220" s="4">
        <f t="shared" ref="Y1220:Y1283" si="455">IF(V1220&gt;365,X1220/800,S1220/800)</f>
        <v>0.69391634980988581</v>
      </c>
      <c r="AB1220" s="5">
        <f t="shared" ref="AB1220:AB1283" si="456">DATE(2024,1,1)</f>
        <v>45292</v>
      </c>
      <c r="AC1220" s="5">
        <f t="shared" ref="AC1220:AC1283" si="457">DATE(2024,12,31)</f>
        <v>45657</v>
      </c>
      <c r="AD1220" s="1">
        <v>4</v>
      </c>
      <c r="AE1220" s="1">
        <f t="shared" ref="AE1220:AE1283" si="458">IF(AND(N1220&lt;AB1220,O1220&gt;AC1220),AC1220-AB1220+1,0)</f>
        <v>0</v>
      </c>
      <c r="AF1220" s="1">
        <f t="shared" ref="AF1220:AF1283" si="459">IF(AND(N1220&gt;=AB1220,O1220&gt;AC1220,N1220&lt;AC1220),AC1220-N1220+1,0)</f>
        <v>0</v>
      </c>
      <c r="AG1220" s="1">
        <f t="shared" ref="AG1220:AG1283" si="460">IF(AND(N1220&lt;AB1220,O1220&lt;=AC1220,O1220&gt;=AB1220),O1220-AB1220+1,0)</f>
        <v>0</v>
      </c>
      <c r="AH1220" s="1">
        <f t="shared" ref="AH1220:AH1283" si="461">IF(AND(N1220&gt;=AB1220,O1220&lt;=AC1220),O1220-N1220+1,0)</f>
        <v>0</v>
      </c>
      <c r="AI1220" s="1">
        <f t="shared" ref="AI1220:AI1283" si="462">IF(AND(N1220&lt;AB1220,O1220&lt;AB1220),(AC1220-AB1220+1)/2,0)</f>
        <v>183</v>
      </c>
      <c r="AJ1220" s="3">
        <f t="shared" ref="AJ1220:AJ1283" si="463">SUM(AE1220:AI1220)/IF(V1220&gt;=365,AC1220-AB1220+1,V1220)</f>
        <v>0.5</v>
      </c>
      <c r="AK1220" s="3">
        <f t="shared" ref="AK1220:AK1283" si="464">Y1220*AJ1220</f>
        <v>0.34695817490494291</v>
      </c>
      <c r="AL1220" s="3">
        <f t="shared" ref="AL1220:AL1283" si="465">IF(AI1220=0,AK1220*AD1220,IF(U1220="SIM",AK1220*(AD1220/2),0))</f>
        <v>0.69391634980988581</v>
      </c>
      <c r="AM1220" s="3">
        <f t="shared" ref="AM1220:AM1283" si="466">AL1220*T1220</f>
        <v>0.69391634980988581</v>
      </c>
      <c r="AN1220" s="3">
        <f t="shared" ref="AN1220:AN1283" si="467">IF(J1220="SIM",AM1220*50%,0)</f>
        <v>0</v>
      </c>
      <c r="AO1220" s="3">
        <f t="shared" ref="AO1220:AO1283" si="468">IF(U1220="SIM",AM1220+AN1220,0)</f>
        <v>0.69391634980988581</v>
      </c>
      <c r="AP1220" s="1" t="str">
        <f>INDEX({"EAD";"EAD";"EAD";"EAD MOOC";"EAD";"EAD";"EAD FP";"EAD";"PRESENCIAL";"PRESENCIAL";"PRESENCIAL";"PRESENCIAL"}, MATCH(CONCATENATE(E1220, ".", F1220),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21" spans="1:42" x14ac:dyDescent="0.25">
      <c r="A1221" s="1" t="s">
        <v>27</v>
      </c>
      <c r="B1221" s="1" t="s">
        <v>62</v>
      </c>
      <c r="C1221" s="1" t="s">
        <v>29</v>
      </c>
      <c r="D1221" s="1" t="s">
        <v>63</v>
      </c>
      <c r="E1221" s="1" t="s">
        <v>120</v>
      </c>
      <c r="F1221" s="1" t="s">
        <v>21</v>
      </c>
      <c r="G1221" s="1" t="s">
        <v>128</v>
      </c>
      <c r="H1221" s="1" t="s">
        <v>132</v>
      </c>
      <c r="I1221" s="1" t="s">
        <v>107</v>
      </c>
      <c r="J1221" s="1" t="s">
        <v>108</v>
      </c>
      <c r="K1221" s="1" t="s">
        <v>130</v>
      </c>
      <c r="L1221" s="1">
        <v>2751281</v>
      </c>
      <c r="M1221" s="1" t="s">
        <v>1380</v>
      </c>
      <c r="N1221" s="5">
        <f>DATE(2021,3,22)</f>
        <v>44277</v>
      </c>
      <c r="O1221" s="5">
        <f>DATE(2023,12,20)</f>
        <v>45280</v>
      </c>
      <c r="P1221" s="5">
        <f t="shared" si="449"/>
        <v>46375</v>
      </c>
      <c r="Q1221" s="1">
        <v>3818</v>
      </c>
      <c r="R1221" s="1">
        <v>1200</v>
      </c>
      <c r="S1221" s="1">
        <f t="shared" si="450"/>
        <v>3200</v>
      </c>
      <c r="T1221" s="1">
        <v>2.5</v>
      </c>
      <c r="U1221" s="1" t="str">
        <f t="shared" si="451"/>
        <v>SIM</v>
      </c>
      <c r="V1221" s="1">
        <f t="shared" si="452"/>
        <v>1004</v>
      </c>
      <c r="W1221" s="4">
        <f t="shared" si="453"/>
        <v>3.1872509960159361</v>
      </c>
      <c r="X1221" s="4">
        <f t="shared" si="454"/>
        <v>1163.3466135458166</v>
      </c>
      <c r="Y1221" s="4">
        <f t="shared" si="455"/>
        <v>1.4541832669322707</v>
      </c>
      <c r="AB1221" s="5">
        <f t="shared" si="456"/>
        <v>45292</v>
      </c>
      <c r="AC1221" s="5">
        <f t="shared" si="457"/>
        <v>45657</v>
      </c>
      <c r="AD1221" s="1">
        <v>15</v>
      </c>
      <c r="AE1221" s="1">
        <f t="shared" si="458"/>
        <v>0</v>
      </c>
      <c r="AF1221" s="1">
        <f t="shared" si="459"/>
        <v>0</v>
      </c>
      <c r="AG1221" s="1">
        <f t="shared" si="460"/>
        <v>0</v>
      </c>
      <c r="AH1221" s="1">
        <f t="shared" si="461"/>
        <v>0</v>
      </c>
      <c r="AI1221" s="1">
        <f t="shared" si="462"/>
        <v>183</v>
      </c>
      <c r="AJ1221" s="3">
        <f t="shared" si="463"/>
        <v>0.5</v>
      </c>
      <c r="AK1221" s="3">
        <f t="shared" si="464"/>
        <v>0.72709163346613537</v>
      </c>
      <c r="AL1221" s="3">
        <f t="shared" si="465"/>
        <v>5.4531872509960149</v>
      </c>
      <c r="AM1221" s="3">
        <f t="shared" si="466"/>
        <v>13.632968127490038</v>
      </c>
      <c r="AN1221" s="3">
        <f t="shared" si="467"/>
        <v>6.816484063745019</v>
      </c>
      <c r="AO1221" s="3">
        <f t="shared" si="468"/>
        <v>20.449452191235057</v>
      </c>
      <c r="AP1221" s="1" t="str">
        <f>INDEX({"EAD";"EAD";"EAD";"EAD MOOC";"EAD";"EAD";"EAD FP";"EAD";"PRESENCIAL";"PRESENCIAL";"PRESENCIAL";"PRESENCIAL"}, MATCH(CONCATENATE(E1221, ".", F1221),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22" spans="1:42" x14ac:dyDescent="0.25">
      <c r="A1222" s="1" t="s">
        <v>27</v>
      </c>
      <c r="B1222" s="1" t="s">
        <v>62</v>
      </c>
      <c r="C1222" s="1" t="s">
        <v>29</v>
      </c>
      <c r="D1222" s="1" t="s">
        <v>63</v>
      </c>
      <c r="E1222" s="1" t="s">
        <v>120</v>
      </c>
      <c r="F1222" s="1" t="s">
        <v>21</v>
      </c>
      <c r="G1222" s="1" t="s">
        <v>128</v>
      </c>
      <c r="H1222" s="1" t="s">
        <v>227</v>
      </c>
      <c r="I1222" s="1" t="s">
        <v>228</v>
      </c>
      <c r="J1222" s="1" t="s">
        <v>125</v>
      </c>
      <c r="K1222" s="1" t="s">
        <v>130</v>
      </c>
      <c r="L1222" s="1">
        <v>2751285</v>
      </c>
      <c r="M1222" s="1" t="s">
        <v>1381</v>
      </c>
      <c r="N1222" s="5">
        <f>DATE(2021,3,22)</f>
        <v>44277</v>
      </c>
      <c r="O1222" s="5">
        <f>DATE(2023,12,20)</f>
        <v>45280</v>
      </c>
      <c r="P1222" s="5">
        <f t="shared" si="449"/>
        <v>46375</v>
      </c>
      <c r="Q1222" s="1">
        <v>3886</v>
      </c>
      <c r="R1222" s="1">
        <v>1200</v>
      </c>
      <c r="S1222" s="1">
        <f t="shared" si="450"/>
        <v>3200</v>
      </c>
      <c r="T1222" s="1">
        <v>2.5</v>
      </c>
      <c r="U1222" s="1" t="str">
        <f t="shared" si="451"/>
        <v>SIM</v>
      </c>
      <c r="V1222" s="1">
        <f t="shared" si="452"/>
        <v>1004</v>
      </c>
      <c r="W1222" s="4">
        <f t="shared" si="453"/>
        <v>3.1872509960159361</v>
      </c>
      <c r="X1222" s="4">
        <f t="shared" si="454"/>
        <v>1163.3466135458166</v>
      </c>
      <c r="Y1222" s="4">
        <f t="shared" si="455"/>
        <v>1.4541832669322707</v>
      </c>
      <c r="AB1222" s="5">
        <f t="shared" si="456"/>
        <v>45292</v>
      </c>
      <c r="AC1222" s="5">
        <f t="shared" si="457"/>
        <v>45657</v>
      </c>
      <c r="AD1222" s="1">
        <v>11</v>
      </c>
      <c r="AE1222" s="1">
        <f t="shared" si="458"/>
        <v>0</v>
      </c>
      <c r="AF1222" s="1">
        <f t="shared" si="459"/>
        <v>0</v>
      </c>
      <c r="AG1222" s="1">
        <f t="shared" si="460"/>
        <v>0</v>
      </c>
      <c r="AH1222" s="1">
        <f t="shared" si="461"/>
        <v>0</v>
      </c>
      <c r="AI1222" s="1">
        <f t="shared" si="462"/>
        <v>183</v>
      </c>
      <c r="AJ1222" s="3">
        <f t="shared" si="463"/>
        <v>0.5</v>
      </c>
      <c r="AK1222" s="3">
        <f t="shared" si="464"/>
        <v>0.72709163346613537</v>
      </c>
      <c r="AL1222" s="3">
        <f t="shared" si="465"/>
        <v>3.9990039840637444</v>
      </c>
      <c r="AM1222" s="3">
        <f t="shared" si="466"/>
        <v>9.9975099601593609</v>
      </c>
      <c r="AN1222" s="3">
        <f t="shared" si="467"/>
        <v>0</v>
      </c>
      <c r="AO1222" s="3">
        <f t="shared" si="468"/>
        <v>9.9975099601593609</v>
      </c>
      <c r="AP1222" s="1" t="str">
        <f>INDEX({"EAD";"EAD";"EAD";"EAD MOOC";"EAD";"EAD";"EAD FP";"EAD";"PRESENCIAL";"PRESENCIAL";"PRESENCIAL";"PRESENCIAL"}, MATCH(CONCATENATE(E1222, ".", F1222),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23" spans="1:42" x14ac:dyDescent="0.25">
      <c r="A1223" s="1" t="s">
        <v>27</v>
      </c>
      <c r="B1223" s="1" t="s">
        <v>62</v>
      </c>
      <c r="C1223" s="1" t="s">
        <v>29</v>
      </c>
      <c r="D1223" s="1" t="s">
        <v>63</v>
      </c>
      <c r="E1223" s="1" t="s">
        <v>120</v>
      </c>
      <c r="F1223" s="1" t="s">
        <v>21</v>
      </c>
      <c r="G1223" s="1" t="s">
        <v>121</v>
      </c>
      <c r="H1223" s="1" t="s">
        <v>1360</v>
      </c>
      <c r="I1223" s="1" t="s">
        <v>107</v>
      </c>
      <c r="J1223" s="1" t="s">
        <v>108</v>
      </c>
      <c r="K1223" s="1" t="s">
        <v>109</v>
      </c>
      <c r="L1223" s="1">
        <v>2751291</v>
      </c>
      <c r="M1223" s="1" t="s">
        <v>1382</v>
      </c>
      <c r="N1223" s="5">
        <f>DATE(2021,3,22)</f>
        <v>44277</v>
      </c>
      <c r="O1223" s="5">
        <f>DATE(2025,12,20)</f>
        <v>46011</v>
      </c>
      <c r="P1223" s="5">
        <f t="shared" si="449"/>
        <v>47106</v>
      </c>
      <c r="Q1223" s="1">
        <v>4579</v>
      </c>
      <c r="R1223" s="1">
        <v>3600</v>
      </c>
      <c r="S1223" s="1">
        <f t="shared" si="450"/>
        <v>3600</v>
      </c>
      <c r="T1223" s="1">
        <v>2.5</v>
      </c>
      <c r="U1223" s="1" t="str">
        <f t="shared" si="451"/>
        <v>SIM</v>
      </c>
      <c r="V1223" s="1">
        <f t="shared" si="452"/>
        <v>1735</v>
      </c>
      <c r="W1223" s="4">
        <f t="shared" si="453"/>
        <v>2.0749279538904899</v>
      </c>
      <c r="X1223" s="4">
        <f t="shared" si="454"/>
        <v>757.34870317002878</v>
      </c>
      <c r="Y1223" s="4">
        <f t="shared" si="455"/>
        <v>0.94668587896253598</v>
      </c>
      <c r="AB1223" s="5">
        <f t="shared" si="456"/>
        <v>45292</v>
      </c>
      <c r="AC1223" s="5">
        <f t="shared" si="457"/>
        <v>45657</v>
      </c>
      <c r="AD1223" s="1">
        <v>22</v>
      </c>
      <c r="AE1223" s="1">
        <f t="shared" si="458"/>
        <v>366</v>
      </c>
      <c r="AF1223" s="1">
        <f t="shared" si="459"/>
        <v>0</v>
      </c>
      <c r="AG1223" s="1">
        <f t="shared" si="460"/>
        <v>0</v>
      </c>
      <c r="AH1223" s="1">
        <f t="shared" si="461"/>
        <v>0</v>
      </c>
      <c r="AI1223" s="1">
        <f t="shared" si="462"/>
        <v>0</v>
      </c>
      <c r="AJ1223" s="3">
        <f t="shared" si="463"/>
        <v>1</v>
      </c>
      <c r="AK1223" s="3">
        <f t="shared" si="464"/>
        <v>0.94668587896253598</v>
      </c>
      <c r="AL1223" s="3">
        <f t="shared" si="465"/>
        <v>20.827089337175792</v>
      </c>
      <c r="AM1223" s="3">
        <f t="shared" si="466"/>
        <v>52.06772334293948</v>
      </c>
      <c r="AN1223" s="3">
        <f t="shared" si="467"/>
        <v>26.03386167146974</v>
      </c>
      <c r="AO1223" s="3">
        <f t="shared" si="468"/>
        <v>78.101585014409224</v>
      </c>
      <c r="AP1223" s="1" t="str">
        <f>INDEX({"EAD";"EAD";"EAD";"EAD MOOC";"EAD";"EAD";"EAD FP";"EAD";"PRESENCIAL";"PRESENCIAL";"PRESENCIAL";"PRESENCIAL"}, MATCH(CONCATENATE(E1223, ".", F1223),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24" spans="1:42" x14ac:dyDescent="0.25">
      <c r="A1224" s="1" t="s">
        <v>27</v>
      </c>
      <c r="B1224" s="1" t="s">
        <v>62</v>
      </c>
      <c r="C1224" s="1" t="s">
        <v>29</v>
      </c>
      <c r="D1224" s="1" t="s">
        <v>63</v>
      </c>
      <c r="E1224" s="1" t="s">
        <v>120</v>
      </c>
      <c r="F1224" s="1" t="s">
        <v>21</v>
      </c>
      <c r="G1224" s="1" t="s">
        <v>140</v>
      </c>
      <c r="H1224" s="1" t="s">
        <v>865</v>
      </c>
      <c r="I1224" s="1" t="s">
        <v>224</v>
      </c>
      <c r="J1224" s="1" t="s">
        <v>125</v>
      </c>
      <c r="K1224" s="1" t="s">
        <v>109</v>
      </c>
      <c r="L1224" s="1">
        <v>2755844</v>
      </c>
      <c r="M1224" s="1" t="s">
        <v>1383</v>
      </c>
      <c r="N1224" s="5">
        <f>DATE(2021,3,22)</f>
        <v>44277</v>
      </c>
      <c r="O1224" s="5">
        <f>DATE(2023,12,20)</f>
        <v>45280</v>
      </c>
      <c r="P1224" s="5">
        <f t="shared" si="449"/>
        <v>46375</v>
      </c>
      <c r="Q1224" s="1">
        <v>2085</v>
      </c>
      <c r="R1224" s="1">
        <v>1600</v>
      </c>
      <c r="S1224" s="1">
        <f t="shared" si="450"/>
        <v>1600</v>
      </c>
      <c r="T1224" s="1">
        <v>1</v>
      </c>
      <c r="U1224" s="1" t="str">
        <f t="shared" si="451"/>
        <v>SIM</v>
      </c>
      <c r="V1224" s="1">
        <f t="shared" si="452"/>
        <v>1004</v>
      </c>
      <c r="W1224" s="4">
        <f t="shared" si="453"/>
        <v>1.593625498007968</v>
      </c>
      <c r="X1224" s="4">
        <f t="shared" si="454"/>
        <v>581.67330677290829</v>
      </c>
      <c r="Y1224" s="4">
        <f t="shared" si="455"/>
        <v>0.72709163346613537</v>
      </c>
      <c r="AB1224" s="5">
        <f t="shared" si="456"/>
        <v>45292</v>
      </c>
      <c r="AC1224" s="5">
        <f t="shared" si="457"/>
        <v>45657</v>
      </c>
      <c r="AD1224" s="1">
        <v>17</v>
      </c>
      <c r="AE1224" s="1">
        <f t="shared" si="458"/>
        <v>0</v>
      </c>
      <c r="AF1224" s="1">
        <f t="shared" si="459"/>
        <v>0</v>
      </c>
      <c r="AG1224" s="1">
        <f t="shared" si="460"/>
        <v>0</v>
      </c>
      <c r="AH1224" s="1">
        <f t="shared" si="461"/>
        <v>0</v>
      </c>
      <c r="AI1224" s="1">
        <f t="shared" si="462"/>
        <v>183</v>
      </c>
      <c r="AJ1224" s="3">
        <f t="shared" si="463"/>
        <v>0.5</v>
      </c>
      <c r="AK1224" s="3">
        <f t="shared" si="464"/>
        <v>0.36354581673306768</v>
      </c>
      <c r="AL1224" s="3">
        <f t="shared" si="465"/>
        <v>3.0901394422310755</v>
      </c>
      <c r="AM1224" s="3">
        <f t="shared" si="466"/>
        <v>3.0901394422310755</v>
      </c>
      <c r="AN1224" s="3">
        <f t="shared" si="467"/>
        <v>0</v>
      </c>
      <c r="AO1224" s="3">
        <f t="shared" si="468"/>
        <v>3.0901394422310755</v>
      </c>
      <c r="AP1224" s="1" t="str">
        <f>INDEX({"EAD";"EAD";"EAD";"EAD MOOC";"EAD";"EAD";"EAD FP";"EAD";"PRESENCIAL";"PRESENCIAL";"PRESENCIAL";"PRESENCIAL"}, MATCH(CONCATENATE(E1224, ".", F1224),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25" spans="1:42" x14ac:dyDescent="0.25">
      <c r="A1225" s="1" t="s">
        <v>27</v>
      </c>
      <c r="B1225" s="1" t="s">
        <v>62</v>
      </c>
      <c r="C1225" s="1" t="s">
        <v>29</v>
      </c>
      <c r="D1225" s="1" t="s">
        <v>63</v>
      </c>
      <c r="E1225" s="1" t="s">
        <v>120</v>
      </c>
      <c r="F1225" s="1" t="s">
        <v>21</v>
      </c>
      <c r="G1225" s="1" t="s">
        <v>140</v>
      </c>
      <c r="H1225" s="1" t="s">
        <v>1362</v>
      </c>
      <c r="I1225" s="1" t="s">
        <v>107</v>
      </c>
      <c r="J1225" s="1" t="s">
        <v>108</v>
      </c>
      <c r="K1225" s="1" t="s">
        <v>109</v>
      </c>
      <c r="L1225" s="1">
        <v>2755846</v>
      </c>
      <c r="M1225" s="1" t="s">
        <v>1384</v>
      </c>
      <c r="N1225" s="5">
        <f>DATE(2021,3,22)</f>
        <v>44277</v>
      </c>
      <c r="O1225" s="5">
        <f>DATE(2023,12,20)</f>
        <v>45280</v>
      </c>
      <c r="P1225" s="5">
        <f t="shared" si="449"/>
        <v>46375</v>
      </c>
      <c r="Q1225" s="1">
        <v>2640</v>
      </c>
      <c r="R1225" s="1">
        <v>2400</v>
      </c>
      <c r="S1225" s="1">
        <f t="shared" si="450"/>
        <v>2400</v>
      </c>
      <c r="T1225" s="1">
        <v>2.5</v>
      </c>
      <c r="U1225" s="1" t="str">
        <f t="shared" si="451"/>
        <v>SIM</v>
      </c>
      <c r="V1225" s="1">
        <f t="shared" si="452"/>
        <v>1004</v>
      </c>
      <c r="W1225" s="4">
        <f t="shared" si="453"/>
        <v>2.3904382470119523</v>
      </c>
      <c r="X1225" s="4">
        <f t="shared" si="454"/>
        <v>872.50996015936255</v>
      </c>
      <c r="Y1225" s="4">
        <f t="shared" si="455"/>
        <v>1.0906374501992031</v>
      </c>
      <c r="AB1225" s="5">
        <f t="shared" si="456"/>
        <v>45292</v>
      </c>
      <c r="AC1225" s="5">
        <f t="shared" si="457"/>
        <v>45657</v>
      </c>
      <c r="AD1225" s="1">
        <v>10</v>
      </c>
      <c r="AE1225" s="1">
        <f t="shared" si="458"/>
        <v>0</v>
      </c>
      <c r="AF1225" s="1">
        <f t="shared" si="459"/>
        <v>0</v>
      </c>
      <c r="AG1225" s="1">
        <f t="shared" si="460"/>
        <v>0</v>
      </c>
      <c r="AH1225" s="1">
        <f t="shared" si="461"/>
        <v>0</v>
      </c>
      <c r="AI1225" s="1">
        <f t="shared" si="462"/>
        <v>183</v>
      </c>
      <c r="AJ1225" s="3">
        <f t="shared" si="463"/>
        <v>0.5</v>
      </c>
      <c r="AK1225" s="3">
        <f t="shared" si="464"/>
        <v>0.54531872509960155</v>
      </c>
      <c r="AL1225" s="3">
        <f t="shared" si="465"/>
        <v>2.7265936254980079</v>
      </c>
      <c r="AM1225" s="3">
        <f t="shared" si="466"/>
        <v>6.8164840637450199</v>
      </c>
      <c r="AN1225" s="3">
        <f t="shared" si="467"/>
        <v>3.40824203187251</v>
      </c>
      <c r="AO1225" s="3">
        <f t="shared" si="468"/>
        <v>10.22472609561753</v>
      </c>
      <c r="AP1225" s="1" t="str">
        <f>INDEX({"EAD";"EAD";"EAD";"EAD MOOC";"EAD";"EAD";"EAD FP";"EAD";"PRESENCIAL";"PRESENCIAL";"PRESENCIAL";"PRESENCIAL"}, MATCH(CONCATENATE(E1225, ".", F1225),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26" spans="1:42" x14ac:dyDescent="0.25">
      <c r="A1226" s="1" t="s">
        <v>27</v>
      </c>
      <c r="B1226" s="1" t="s">
        <v>62</v>
      </c>
      <c r="C1226" s="1" t="s">
        <v>29</v>
      </c>
      <c r="D1226" s="1" t="s">
        <v>63</v>
      </c>
      <c r="E1226" s="1" t="s">
        <v>120</v>
      </c>
      <c r="F1226" s="1" t="s">
        <v>21</v>
      </c>
      <c r="G1226" s="1" t="s">
        <v>128</v>
      </c>
      <c r="H1226" s="1" t="s">
        <v>132</v>
      </c>
      <c r="I1226" s="1" t="s">
        <v>107</v>
      </c>
      <c r="J1226" s="1" t="s">
        <v>108</v>
      </c>
      <c r="K1226" s="1" t="s">
        <v>130</v>
      </c>
      <c r="L1226" s="1">
        <v>2833504</v>
      </c>
      <c r="M1226" s="1" t="s">
        <v>1385</v>
      </c>
      <c r="N1226" s="5">
        <f>DATE(2022,2,1)</f>
        <v>44593</v>
      </c>
      <c r="O1226" s="5">
        <f>DATE(2024,12,16)</f>
        <v>45642</v>
      </c>
      <c r="P1226" s="5">
        <f t="shared" si="449"/>
        <v>46737</v>
      </c>
      <c r="Q1226" s="1">
        <v>3818</v>
      </c>
      <c r="R1226" s="1">
        <v>1200</v>
      </c>
      <c r="S1226" s="1">
        <f t="shared" si="450"/>
        <v>3200</v>
      </c>
      <c r="T1226" s="1">
        <v>2.5</v>
      </c>
      <c r="U1226" s="1" t="str">
        <f t="shared" si="451"/>
        <v>SIM</v>
      </c>
      <c r="V1226" s="1">
        <f t="shared" si="452"/>
        <v>1050</v>
      </c>
      <c r="W1226" s="4">
        <f t="shared" si="453"/>
        <v>3.0476190476190474</v>
      </c>
      <c r="X1226" s="4">
        <f t="shared" si="454"/>
        <v>1112.3809523809523</v>
      </c>
      <c r="Y1226" s="4">
        <f t="shared" si="455"/>
        <v>1.3904761904761904</v>
      </c>
      <c r="AB1226" s="5">
        <f t="shared" si="456"/>
        <v>45292</v>
      </c>
      <c r="AC1226" s="5">
        <f t="shared" si="457"/>
        <v>45657</v>
      </c>
      <c r="AD1226" s="1">
        <v>55</v>
      </c>
      <c r="AE1226" s="1">
        <f t="shared" si="458"/>
        <v>0</v>
      </c>
      <c r="AF1226" s="1">
        <f t="shared" si="459"/>
        <v>0</v>
      </c>
      <c r="AG1226" s="1">
        <f t="shared" si="460"/>
        <v>351</v>
      </c>
      <c r="AH1226" s="1">
        <f t="shared" si="461"/>
        <v>0</v>
      </c>
      <c r="AI1226" s="1">
        <f t="shared" si="462"/>
        <v>0</v>
      </c>
      <c r="AJ1226" s="3">
        <f t="shared" si="463"/>
        <v>0.95901639344262291</v>
      </c>
      <c r="AK1226" s="3">
        <f t="shared" si="464"/>
        <v>1.3334894613583137</v>
      </c>
      <c r="AL1226" s="3">
        <f t="shared" si="465"/>
        <v>73.341920374707257</v>
      </c>
      <c r="AM1226" s="3">
        <f t="shared" si="466"/>
        <v>183.35480093676813</v>
      </c>
      <c r="AN1226" s="3">
        <f t="shared" si="467"/>
        <v>91.677400468384064</v>
      </c>
      <c r="AO1226" s="3">
        <f t="shared" si="468"/>
        <v>275.03220140515219</v>
      </c>
      <c r="AP1226" s="1" t="str">
        <f>INDEX({"EAD";"EAD";"EAD";"EAD MOOC";"EAD";"EAD";"EAD FP";"EAD";"PRESENCIAL";"PRESENCIAL";"PRESENCIAL";"PRESENCIAL"}, MATCH(CONCATENATE(E1226, ".", F1226),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27" spans="1:42" x14ac:dyDescent="0.25">
      <c r="A1227" s="1" t="s">
        <v>27</v>
      </c>
      <c r="B1227" s="1" t="s">
        <v>62</v>
      </c>
      <c r="C1227" s="1" t="s">
        <v>29</v>
      </c>
      <c r="D1227" s="1" t="s">
        <v>63</v>
      </c>
      <c r="E1227" s="1" t="s">
        <v>120</v>
      </c>
      <c r="F1227" s="1" t="s">
        <v>21</v>
      </c>
      <c r="G1227" s="1" t="s">
        <v>128</v>
      </c>
      <c r="H1227" s="1" t="s">
        <v>227</v>
      </c>
      <c r="I1227" s="1" t="s">
        <v>228</v>
      </c>
      <c r="J1227" s="1" t="s">
        <v>125</v>
      </c>
      <c r="K1227" s="1" t="s">
        <v>130</v>
      </c>
      <c r="L1227" s="1">
        <v>2833506</v>
      </c>
      <c r="M1227" s="1" t="s">
        <v>1386</v>
      </c>
      <c r="N1227" s="5">
        <f>DATE(2022,2,1)</f>
        <v>44593</v>
      </c>
      <c r="O1227" s="5">
        <f>DATE(2024,12,16)</f>
        <v>45642</v>
      </c>
      <c r="P1227" s="5">
        <f t="shared" si="449"/>
        <v>46737</v>
      </c>
      <c r="Q1227" s="1">
        <v>3886</v>
      </c>
      <c r="R1227" s="1">
        <v>1200</v>
      </c>
      <c r="S1227" s="1">
        <f t="shared" si="450"/>
        <v>3200</v>
      </c>
      <c r="T1227" s="1">
        <v>2.5</v>
      </c>
      <c r="U1227" s="1" t="str">
        <f t="shared" si="451"/>
        <v>SIM</v>
      </c>
      <c r="V1227" s="1">
        <f t="shared" si="452"/>
        <v>1050</v>
      </c>
      <c r="W1227" s="4">
        <f t="shared" si="453"/>
        <v>3.0476190476190474</v>
      </c>
      <c r="X1227" s="4">
        <f t="shared" si="454"/>
        <v>1112.3809523809523</v>
      </c>
      <c r="Y1227" s="4">
        <f t="shared" si="455"/>
        <v>1.3904761904761904</v>
      </c>
      <c r="AB1227" s="5">
        <f t="shared" si="456"/>
        <v>45292</v>
      </c>
      <c r="AC1227" s="5">
        <f t="shared" si="457"/>
        <v>45657</v>
      </c>
      <c r="AD1227" s="1">
        <v>44</v>
      </c>
      <c r="AE1227" s="1">
        <f t="shared" si="458"/>
        <v>0</v>
      </c>
      <c r="AF1227" s="1">
        <f t="shared" si="459"/>
        <v>0</v>
      </c>
      <c r="AG1227" s="1">
        <f t="shared" si="460"/>
        <v>351</v>
      </c>
      <c r="AH1227" s="1">
        <f t="shared" si="461"/>
        <v>0</v>
      </c>
      <c r="AI1227" s="1">
        <f t="shared" si="462"/>
        <v>0</v>
      </c>
      <c r="AJ1227" s="3">
        <f t="shared" si="463"/>
        <v>0.95901639344262291</v>
      </c>
      <c r="AK1227" s="3">
        <f t="shared" si="464"/>
        <v>1.3334894613583137</v>
      </c>
      <c r="AL1227" s="3">
        <f t="shared" si="465"/>
        <v>58.6735362997658</v>
      </c>
      <c r="AM1227" s="3">
        <f t="shared" si="466"/>
        <v>146.68384074941451</v>
      </c>
      <c r="AN1227" s="3">
        <f t="shared" si="467"/>
        <v>0</v>
      </c>
      <c r="AO1227" s="3">
        <f t="shared" si="468"/>
        <v>146.68384074941451</v>
      </c>
      <c r="AP1227" s="1" t="str">
        <f>INDEX({"EAD";"EAD";"EAD";"EAD MOOC";"EAD";"EAD";"EAD FP";"EAD";"PRESENCIAL";"PRESENCIAL";"PRESENCIAL";"PRESENCIAL"}, MATCH(CONCATENATE(E1227, ".", F1227),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28" spans="1:42" x14ac:dyDescent="0.25">
      <c r="A1228" s="1" t="s">
        <v>27</v>
      </c>
      <c r="B1228" s="1" t="s">
        <v>62</v>
      </c>
      <c r="C1228" s="1" t="s">
        <v>29</v>
      </c>
      <c r="D1228" s="1" t="s">
        <v>63</v>
      </c>
      <c r="E1228" s="1" t="s">
        <v>120</v>
      </c>
      <c r="F1228" s="1" t="s">
        <v>21</v>
      </c>
      <c r="G1228" s="1" t="s">
        <v>140</v>
      </c>
      <c r="H1228" s="1" t="s">
        <v>865</v>
      </c>
      <c r="I1228" s="1" t="s">
        <v>224</v>
      </c>
      <c r="J1228" s="1" t="s">
        <v>125</v>
      </c>
      <c r="K1228" s="1" t="s">
        <v>109</v>
      </c>
      <c r="L1228" s="1">
        <v>2833509</v>
      </c>
      <c r="M1228" s="1" t="s">
        <v>1387</v>
      </c>
      <c r="N1228" s="5">
        <f>DATE(2022,2,1)</f>
        <v>44593</v>
      </c>
      <c r="O1228" s="5">
        <f>DATE(2024,12,16)</f>
        <v>45642</v>
      </c>
      <c r="P1228" s="5">
        <f t="shared" si="449"/>
        <v>46737</v>
      </c>
      <c r="Q1228" s="1">
        <v>2085</v>
      </c>
      <c r="R1228" s="1">
        <v>1600</v>
      </c>
      <c r="S1228" s="1">
        <f t="shared" si="450"/>
        <v>1600</v>
      </c>
      <c r="T1228" s="1">
        <v>1</v>
      </c>
      <c r="U1228" s="1" t="str">
        <f t="shared" si="451"/>
        <v>SIM</v>
      </c>
      <c r="V1228" s="1">
        <f t="shared" si="452"/>
        <v>1050</v>
      </c>
      <c r="W1228" s="4">
        <f t="shared" si="453"/>
        <v>1.5238095238095237</v>
      </c>
      <c r="X1228" s="4">
        <f t="shared" si="454"/>
        <v>556.19047619047615</v>
      </c>
      <c r="Y1228" s="4">
        <f t="shared" si="455"/>
        <v>0.69523809523809521</v>
      </c>
      <c r="AB1228" s="5">
        <f t="shared" si="456"/>
        <v>45292</v>
      </c>
      <c r="AC1228" s="5">
        <f t="shared" si="457"/>
        <v>45657</v>
      </c>
      <c r="AD1228" s="1">
        <v>18</v>
      </c>
      <c r="AE1228" s="1">
        <f t="shared" si="458"/>
        <v>0</v>
      </c>
      <c r="AF1228" s="1">
        <f t="shared" si="459"/>
        <v>0</v>
      </c>
      <c r="AG1228" s="1">
        <f t="shared" si="460"/>
        <v>351</v>
      </c>
      <c r="AH1228" s="1">
        <f t="shared" si="461"/>
        <v>0</v>
      </c>
      <c r="AI1228" s="1">
        <f t="shared" si="462"/>
        <v>0</v>
      </c>
      <c r="AJ1228" s="3">
        <f t="shared" si="463"/>
        <v>0.95901639344262291</v>
      </c>
      <c r="AK1228" s="3">
        <f t="shared" si="464"/>
        <v>0.66674473067915685</v>
      </c>
      <c r="AL1228" s="3">
        <f t="shared" si="465"/>
        <v>12.001405152224823</v>
      </c>
      <c r="AM1228" s="3">
        <f t="shared" si="466"/>
        <v>12.001405152224823</v>
      </c>
      <c r="AN1228" s="3">
        <f t="shared" si="467"/>
        <v>0</v>
      </c>
      <c r="AO1228" s="3">
        <f t="shared" si="468"/>
        <v>12.001405152224823</v>
      </c>
      <c r="AP1228" s="1" t="str">
        <f>INDEX({"EAD";"EAD";"EAD";"EAD MOOC";"EAD";"EAD";"EAD FP";"EAD";"PRESENCIAL";"PRESENCIAL";"PRESENCIAL";"PRESENCIAL"}, MATCH(CONCATENATE(E1228, ".", F1228),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29" spans="1:42" x14ac:dyDescent="0.25">
      <c r="A1229" s="1" t="s">
        <v>27</v>
      </c>
      <c r="B1229" s="1" t="s">
        <v>62</v>
      </c>
      <c r="C1229" s="1" t="s">
        <v>29</v>
      </c>
      <c r="D1229" s="1" t="s">
        <v>63</v>
      </c>
      <c r="E1229" s="1" t="s">
        <v>120</v>
      </c>
      <c r="F1229" s="1" t="s">
        <v>21</v>
      </c>
      <c r="G1229" s="1" t="s">
        <v>140</v>
      </c>
      <c r="H1229" s="1" t="s">
        <v>1362</v>
      </c>
      <c r="I1229" s="1" t="s">
        <v>107</v>
      </c>
      <c r="J1229" s="1" t="s">
        <v>108</v>
      </c>
      <c r="K1229" s="1" t="s">
        <v>109</v>
      </c>
      <c r="L1229" s="1">
        <v>2833511</v>
      </c>
      <c r="M1229" s="1" t="s">
        <v>1388</v>
      </c>
      <c r="N1229" s="5">
        <f>DATE(2022,2,1)</f>
        <v>44593</v>
      </c>
      <c r="O1229" s="5">
        <f>DATE(2024,12,16)</f>
        <v>45642</v>
      </c>
      <c r="P1229" s="5">
        <f t="shared" si="449"/>
        <v>46737</v>
      </c>
      <c r="Q1229" s="1">
        <v>2640</v>
      </c>
      <c r="R1229" s="1">
        <v>2400</v>
      </c>
      <c r="S1229" s="1">
        <f t="shared" si="450"/>
        <v>2400</v>
      </c>
      <c r="T1229" s="1">
        <v>2.5</v>
      </c>
      <c r="U1229" s="1" t="str">
        <f t="shared" si="451"/>
        <v>SIM</v>
      </c>
      <c r="V1229" s="1">
        <f t="shared" si="452"/>
        <v>1050</v>
      </c>
      <c r="W1229" s="4">
        <f t="shared" si="453"/>
        <v>2.2857142857142856</v>
      </c>
      <c r="X1229" s="4">
        <f t="shared" si="454"/>
        <v>834.28571428571422</v>
      </c>
      <c r="Y1229" s="4">
        <f t="shared" si="455"/>
        <v>1.0428571428571427</v>
      </c>
      <c r="AB1229" s="5">
        <f t="shared" si="456"/>
        <v>45292</v>
      </c>
      <c r="AC1229" s="5">
        <f t="shared" si="457"/>
        <v>45657</v>
      </c>
      <c r="AD1229" s="1">
        <v>33</v>
      </c>
      <c r="AE1229" s="1">
        <f t="shared" si="458"/>
        <v>0</v>
      </c>
      <c r="AF1229" s="1">
        <f t="shared" si="459"/>
        <v>0</v>
      </c>
      <c r="AG1229" s="1">
        <f t="shared" si="460"/>
        <v>351</v>
      </c>
      <c r="AH1229" s="1">
        <f t="shared" si="461"/>
        <v>0</v>
      </c>
      <c r="AI1229" s="1">
        <f t="shared" si="462"/>
        <v>0</v>
      </c>
      <c r="AJ1229" s="3">
        <f t="shared" si="463"/>
        <v>0.95901639344262291</v>
      </c>
      <c r="AK1229" s="3">
        <f t="shared" si="464"/>
        <v>1.0001170960187351</v>
      </c>
      <c r="AL1229" s="3">
        <f t="shared" si="465"/>
        <v>33.003864168618257</v>
      </c>
      <c r="AM1229" s="3">
        <f t="shared" si="466"/>
        <v>82.509660421545647</v>
      </c>
      <c r="AN1229" s="3">
        <f t="shared" si="467"/>
        <v>41.254830210772823</v>
      </c>
      <c r="AO1229" s="3">
        <f t="shared" si="468"/>
        <v>123.76449063231847</v>
      </c>
      <c r="AP1229" s="1" t="str">
        <f>INDEX({"EAD";"EAD";"EAD";"EAD MOOC";"EAD";"EAD";"EAD FP";"EAD";"PRESENCIAL";"PRESENCIAL";"PRESENCIAL";"PRESENCIAL"}, MATCH(CONCATENATE(E1229, ".", F1229),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30" spans="1:42" x14ac:dyDescent="0.25">
      <c r="A1230" s="1" t="s">
        <v>27</v>
      </c>
      <c r="B1230" s="1" t="s">
        <v>62</v>
      </c>
      <c r="C1230" s="1" t="s">
        <v>29</v>
      </c>
      <c r="D1230" s="1" t="s">
        <v>63</v>
      </c>
      <c r="E1230" s="1" t="s">
        <v>120</v>
      </c>
      <c r="F1230" s="1" t="s">
        <v>21</v>
      </c>
      <c r="G1230" s="1" t="s">
        <v>121</v>
      </c>
      <c r="H1230" s="1" t="s">
        <v>1360</v>
      </c>
      <c r="I1230" s="1" t="s">
        <v>107</v>
      </c>
      <c r="J1230" s="1" t="s">
        <v>108</v>
      </c>
      <c r="K1230" s="1" t="s">
        <v>109</v>
      </c>
      <c r="L1230" s="1">
        <v>2833513</v>
      </c>
      <c r="M1230" s="1" t="s">
        <v>1389</v>
      </c>
      <c r="N1230" s="5">
        <f>DATE(2022,2,1)</f>
        <v>44593</v>
      </c>
      <c r="O1230" s="5">
        <f>DATE(2026,12,16)</f>
        <v>46372</v>
      </c>
      <c r="P1230" s="5">
        <f t="shared" si="449"/>
        <v>47467</v>
      </c>
      <c r="Q1230" s="1">
        <v>4579</v>
      </c>
      <c r="R1230" s="1">
        <v>3600</v>
      </c>
      <c r="S1230" s="1">
        <f t="shared" si="450"/>
        <v>3600</v>
      </c>
      <c r="T1230" s="1">
        <v>2.5</v>
      </c>
      <c r="U1230" s="1" t="str">
        <f t="shared" si="451"/>
        <v>SIM</v>
      </c>
      <c r="V1230" s="1">
        <f t="shared" si="452"/>
        <v>1780</v>
      </c>
      <c r="W1230" s="4">
        <f t="shared" si="453"/>
        <v>2.0224719101123596</v>
      </c>
      <c r="X1230" s="4">
        <f t="shared" si="454"/>
        <v>738.20224719101122</v>
      </c>
      <c r="Y1230" s="4">
        <f t="shared" si="455"/>
        <v>0.922752808988764</v>
      </c>
      <c r="AB1230" s="5">
        <f t="shared" si="456"/>
        <v>45292</v>
      </c>
      <c r="AC1230" s="5">
        <f t="shared" si="457"/>
        <v>45657</v>
      </c>
      <c r="AD1230" s="1">
        <v>32</v>
      </c>
      <c r="AE1230" s="1">
        <f t="shared" si="458"/>
        <v>366</v>
      </c>
      <c r="AF1230" s="1">
        <f t="shared" si="459"/>
        <v>0</v>
      </c>
      <c r="AG1230" s="1">
        <f t="shared" si="460"/>
        <v>0</v>
      </c>
      <c r="AH1230" s="1">
        <f t="shared" si="461"/>
        <v>0</v>
      </c>
      <c r="AI1230" s="1">
        <f t="shared" si="462"/>
        <v>0</v>
      </c>
      <c r="AJ1230" s="3">
        <f t="shared" si="463"/>
        <v>1</v>
      </c>
      <c r="AK1230" s="3">
        <f t="shared" si="464"/>
        <v>0.922752808988764</v>
      </c>
      <c r="AL1230" s="3">
        <f t="shared" si="465"/>
        <v>29.528089887640448</v>
      </c>
      <c r="AM1230" s="3">
        <f t="shared" si="466"/>
        <v>73.82022471910112</v>
      </c>
      <c r="AN1230" s="3">
        <f t="shared" si="467"/>
        <v>36.91011235955056</v>
      </c>
      <c r="AO1230" s="3">
        <f t="shared" si="468"/>
        <v>110.73033707865167</v>
      </c>
      <c r="AP1230" s="1" t="str">
        <f>INDEX({"EAD";"EAD";"EAD";"EAD MOOC";"EAD";"EAD";"EAD FP";"EAD";"PRESENCIAL";"PRESENCIAL";"PRESENCIAL";"PRESENCIAL"}, MATCH(CONCATENATE(E1230, ".", F1230),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31" spans="1:42" x14ac:dyDescent="0.25">
      <c r="A1231" s="1" t="s">
        <v>27</v>
      </c>
      <c r="B1231" s="1" t="s">
        <v>62</v>
      </c>
      <c r="C1231" s="1" t="s">
        <v>29</v>
      </c>
      <c r="D1231" s="1" t="s">
        <v>63</v>
      </c>
      <c r="E1231" s="1" t="s">
        <v>120</v>
      </c>
      <c r="F1231" s="1" t="s">
        <v>21</v>
      </c>
      <c r="G1231" s="1" t="s">
        <v>161</v>
      </c>
      <c r="H1231" s="1" t="s">
        <v>1390</v>
      </c>
      <c r="I1231" s="1" t="s">
        <v>172</v>
      </c>
      <c r="J1231" s="1" t="s">
        <v>125</v>
      </c>
      <c r="K1231" s="1" t="s">
        <v>163</v>
      </c>
      <c r="L1231" s="1">
        <v>2613846</v>
      </c>
      <c r="M1231" s="1" t="s">
        <v>1391</v>
      </c>
      <c r="N1231" s="5">
        <f>DATE(2022,9,30)</f>
        <v>44834</v>
      </c>
      <c r="O1231" s="5">
        <f>DATE(2023,9,29)</f>
        <v>45198</v>
      </c>
      <c r="P1231" s="5">
        <f t="shared" si="449"/>
        <v>45198</v>
      </c>
      <c r="Q1231" s="1">
        <v>160</v>
      </c>
      <c r="R1231" s="1">
        <v>160</v>
      </c>
      <c r="S1231" s="1">
        <f t="shared" si="450"/>
        <v>160</v>
      </c>
      <c r="T1231" s="1">
        <v>1</v>
      </c>
      <c r="U1231" s="1" t="str">
        <f t="shared" si="451"/>
        <v>NÃO</v>
      </c>
      <c r="V1231" s="1">
        <f t="shared" si="452"/>
        <v>365</v>
      </c>
      <c r="W1231" s="4">
        <f t="shared" si="453"/>
        <v>0.43835616438356162</v>
      </c>
      <c r="X1231" s="4">
        <f t="shared" si="454"/>
        <v>160</v>
      </c>
      <c r="Y1231" s="4">
        <f t="shared" si="455"/>
        <v>0.2</v>
      </c>
      <c r="AB1231" s="5">
        <f t="shared" si="456"/>
        <v>45292</v>
      </c>
      <c r="AC1231" s="5">
        <f t="shared" si="457"/>
        <v>45657</v>
      </c>
      <c r="AD1231" s="1">
        <v>9</v>
      </c>
      <c r="AE1231" s="1">
        <f t="shared" si="458"/>
        <v>0</v>
      </c>
      <c r="AF1231" s="1">
        <f t="shared" si="459"/>
        <v>0</v>
      </c>
      <c r="AG1231" s="1">
        <f t="shared" si="460"/>
        <v>0</v>
      </c>
      <c r="AH1231" s="1">
        <f t="shared" si="461"/>
        <v>0</v>
      </c>
      <c r="AI1231" s="1">
        <f t="shared" si="462"/>
        <v>183</v>
      </c>
      <c r="AJ1231" s="3">
        <f t="shared" si="463"/>
        <v>0.5</v>
      </c>
      <c r="AK1231" s="3">
        <f t="shared" si="464"/>
        <v>0.1</v>
      </c>
      <c r="AL1231" s="3">
        <f t="shared" si="465"/>
        <v>0</v>
      </c>
      <c r="AM1231" s="3">
        <f t="shared" si="466"/>
        <v>0</v>
      </c>
      <c r="AN1231" s="3">
        <f t="shared" si="467"/>
        <v>0</v>
      </c>
      <c r="AO1231" s="3">
        <f t="shared" si="468"/>
        <v>0</v>
      </c>
      <c r="AP1231" s="1" t="str">
        <f>INDEX({"EAD";"EAD";"EAD";"EAD MOOC";"EAD";"EAD";"EAD FP";"EAD";"PRESENCIAL";"PRESENCIAL";"PRESENCIAL";"PRESENCIAL"}, MATCH(CONCATENATE(E1231, ".", F1231),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32" spans="1:42" x14ac:dyDescent="0.25">
      <c r="A1232" s="1" t="s">
        <v>27</v>
      </c>
      <c r="B1232" s="1" t="s">
        <v>62</v>
      </c>
      <c r="C1232" s="1" t="s">
        <v>29</v>
      </c>
      <c r="D1232" s="1" t="s">
        <v>63</v>
      </c>
      <c r="E1232" s="1" t="s">
        <v>120</v>
      </c>
      <c r="F1232" s="1" t="s">
        <v>21</v>
      </c>
      <c r="G1232" s="1" t="s">
        <v>128</v>
      </c>
      <c r="H1232" s="1" t="s">
        <v>132</v>
      </c>
      <c r="I1232" s="1" t="s">
        <v>107</v>
      </c>
      <c r="J1232" s="1" t="s">
        <v>108</v>
      </c>
      <c r="K1232" s="1" t="s">
        <v>130</v>
      </c>
      <c r="L1232" s="1">
        <v>2947094</v>
      </c>
      <c r="M1232" s="1" t="s">
        <v>1392</v>
      </c>
      <c r="N1232" s="5">
        <f>DATE(2023,1,30)</f>
        <v>44956</v>
      </c>
      <c r="O1232" s="5">
        <f>DATE(2025,12,22)</f>
        <v>46013</v>
      </c>
      <c r="P1232" s="5">
        <f t="shared" si="449"/>
        <v>47108</v>
      </c>
      <c r="Q1232" s="1">
        <v>3818</v>
      </c>
      <c r="R1232" s="1">
        <v>1200</v>
      </c>
      <c r="S1232" s="1">
        <f t="shared" si="450"/>
        <v>3200</v>
      </c>
      <c r="T1232" s="1">
        <v>2.5</v>
      </c>
      <c r="U1232" s="1" t="str">
        <f t="shared" si="451"/>
        <v>SIM</v>
      </c>
      <c r="V1232" s="1">
        <f t="shared" si="452"/>
        <v>1058</v>
      </c>
      <c r="W1232" s="4">
        <f t="shared" si="453"/>
        <v>3.0245746691871456</v>
      </c>
      <c r="X1232" s="4">
        <f t="shared" si="454"/>
        <v>1103.9697542533081</v>
      </c>
      <c r="Y1232" s="4">
        <f t="shared" si="455"/>
        <v>1.3799621928166352</v>
      </c>
      <c r="AB1232" s="5">
        <f t="shared" si="456"/>
        <v>45292</v>
      </c>
      <c r="AC1232" s="5">
        <f t="shared" si="457"/>
        <v>45657</v>
      </c>
      <c r="AD1232" s="1">
        <v>62</v>
      </c>
      <c r="AE1232" s="1">
        <f t="shared" si="458"/>
        <v>366</v>
      </c>
      <c r="AF1232" s="1">
        <f t="shared" si="459"/>
        <v>0</v>
      </c>
      <c r="AG1232" s="1">
        <f t="shared" si="460"/>
        <v>0</v>
      </c>
      <c r="AH1232" s="1">
        <f t="shared" si="461"/>
        <v>0</v>
      </c>
      <c r="AI1232" s="1">
        <f t="shared" si="462"/>
        <v>0</v>
      </c>
      <c r="AJ1232" s="3">
        <f t="shared" si="463"/>
        <v>1</v>
      </c>
      <c r="AK1232" s="3">
        <f t="shared" si="464"/>
        <v>1.3799621928166352</v>
      </c>
      <c r="AL1232" s="3">
        <f t="shared" si="465"/>
        <v>85.557655954631386</v>
      </c>
      <c r="AM1232" s="3">
        <f t="shared" si="466"/>
        <v>213.89413988657847</v>
      </c>
      <c r="AN1232" s="3">
        <f t="shared" si="467"/>
        <v>106.94706994328924</v>
      </c>
      <c r="AO1232" s="3">
        <f t="shared" si="468"/>
        <v>320.84120982986769</v>
      </c>
      <c r="AP1232" s="1" t="str">
        <f>INDEX({"EAD";"EAD";"EAD";"EAD MOOC";"EAD";"EAD";"EAD FP";"EAD";"PRESENCIAL";"PRESENCIAL";"PRESENCIAL";"PRESENCIAL"}, MATCH(CONCATENATE(E1232, ".", F1232),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33" spans="1:42" x14ac:dyDescent="0.25">
      <c r="A1233" s="1" t="s">
        <v>27</v>
      </c>
      <c r="B1233" s="1" t="s">
        <v>62</v>
      </c>
      <c r="C1233" s="1" t="s">
        <v>29</v>
      </c>
      <c r="D1233" s="1" t="s">
        <v>63</v>
      </c>
      <c r="E1233" s="1" t="s">
        <v>120</v>
      </c>
      <c r="F1233" s="1" t="s">
        <v>21</v>
      </c>
      <c r="G1233" s="1" t="s">
        <v>128</v>
      </c>
      <c r="H1233" s="1" t="s">
        <v>227</v>
      </c>
      <c r="I1233" s="1" t="s">
        <v>228</v>
      </c>
      <c r="J1233" s="1" t="s">
        <v>125</v>
      </c>
      <c r="K1233" s="1" t="s">
        <v>130</v>
      </c>
      <c r="L1233" s="1">
        <v>2947095</v>
      </c>
      <c r="M1233" s="1" t="s">
        <v>1393</v>
      </c>
      <c r="N1233" s="5">
        <f>DATE(2023,1,30)</f>
        <v>44956</v>
      </c>
      <c r="O1233" s="5">
        <f>DATE(2025,12,22)</f>
        <v>46013</v>
      </c>
      <c r="P1233" s="5">
        <f t="shared" si="449"/>
        <v>47108</v>
      </c>
      <c r="Q1233" s="1">
        <v>3886</v>
      </c>
      <c r="R1233" s="1">
        <v>1200</v>
      </c>
      <c r="S1233" s="1">
        <f t="shared" si="450"/>
        <v>3200</v>
      </c>
      <c r="T1233" s="1">
        <v>2.5</v>
      </c>
      <c r="U1233" s="1" t="str">
        <f t="shared" si="451"/>
        <v>SIM</v>
      </c>
      <c r="V1233" s="1">
        <f t="shared" si="452"/>
        <v>1058</v>
      </c>
      <c r="W1233" s="4">
        <f t="shared" si="453"/>
        <v>3.0245746691871456</v>
      </c>
      <c r="X1233" s="4">
        <f t="shared" si="454"/>
        <v>1103.9697542533081</v>
      </c>
      <c r="Y1233" s="4">
        <f t="shared" si="455"/>
        <v>1.3799621928166352</v>
      </c>
      <c r="AB1233" s="5">
        <f t="shared" si="456"/>
        <v>45292</v>
      </c>
      <c r="AC1233" s="5">
        <f t="shared" si="457"/>
        <v>45657</v>
      </c>
      <c r="AD1233" s="1">
        <v>31</v>
      </c>
      <c r="AE1233" s="1">
        <f t="shared" si="458"/>
        <v>366</v>
      </c>
      <c r="AF1233" s="1">
        <f t="shared" si="459"/>
        <v>0</v>
      </c>
      <c r="AG1233" s="1">
        <f t="shared" si="460"/>
        <v>0</v>
      </c>
      <c r="AH1233" s="1">
        <f t="shared" si="461"/>
        <v>0</v>
      </c>
      <c r="AI1233" s="1">
        <f t="shared" si="462"/>
        <v>0</v>
      </c>
      <c r="AJ1233" s="3">
        <f t="shared" si="463"/>
        <v>1</v>
      </c>
      <c r="AK1233" s="3">
        <f t="shared" si="464"/>
        <v>1.3799621928166352</v>
      </c>
      <c r="AL1233" s="3">
        <f t="shared" si="465"/>
        <v>42.778827977315693</v>
      </c>
      <c r="AM1233" s="3">
        <f t="shared" si="466"/>
        <v>106.94706994328924</v>
      </c>
      <c r="AN1233" s="3">
        <f t="shared" si="467"/>
        <v>0</v>
      </c>
      <c r="AO1233" s="3">
        <f t="shared" si="468"/>
        <v>106.94706994328924</v>
      </c>
      <c r="AP1233" s="1" t="str">
        <f>INDEX({"EAD";"EAD";"EAD";"EAD MOOC";"EAD";"EAD";"EAD FP";"EAD";"PRESENCIAL";"PRESENCIAL";"PRESENCIAL";"PRESENCIAL"}, MATCH(CONCATENATE(E1233, ".", F1233),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34" spans="1:42" x14ac:dyDescent="0.25">
      <c r="A1234" s="1" t="s">
        <v>27</v>
      </c>
      <c r="B1234" s="1" t="s">
        <v>62</v>
      </c>
      <c r="C1234" s="1" t="s">
        <v>29</v>
      </c>
      <c r="D1234" s="1" t="s">
        <v>63</v>
      </c>
      <c r="E1234" s="1" t="s">
        <v>120</v>
      </c>
      <c r="F1234" s="1" t="s">
        <v>21</v>
      </c>
      <c r="G1234" s="1" t="s">
        <v>140</v>
      </c>
      <c r="H1234" s="1" t="s">
        <v>865</v>
      </c>
      <c r="I1234" s="1" t="s">
        <v>224</v>
      </c>
      <c r="J1234" s="1" t="s">
        <v>125</v>
      </c>
      <c r="K1234" s="1" t="s">
        <v>109</v>
      </c>
      <c r="L1234" s="1">
        <v>2947096</v>
      </c>
      <c r="M1234" s="1" t="s">
        <v>1394</v>
      </c>
      <c r="N1234" s="5">
        <f>DATE(2023,1,30)</f>
        <v>44956</v>
      </c>
      <c r="O1234" s="5">
        <f>DATE(2025,12,22)</f>
        <v>46013</v>
      </c>
      <c r="P1234" s="5">
        <f t="shared" si="449"/>
        <v>47108</v>
      </c>
      <c r="Q1234" s="1">
        <v>2085</v>
      </c>
      <c r="R1234" s="1">
        <v>1600</v>
      </c>
      <c r="S1234" s="1">
        <f t="shared" si="450"/>
        <v>1600</v>
      </c>
      <c r="T1234" s="1">
        <v>1</v>
      </c>
      <c r="U1234" s="1" t="str">
        <f t="shared" si="451"/>
        <v>SIM</v>
      </c>
      <c r="V1234" s="1">
        <f t="shared" si="452"/>
        <v>1058</v>
      </c>
      <c r="W1234" s="4">
        <f t="shared" si="453"/>
        <v>1.5122873345935728</v>
      </c>
      <c r="X1234" s="4">
        <f t="shared" si="454"/>
        <v>551.98487712665406</v>
      </c>
      <c r="Y1234" s="4">
        <f t="shared" si="455"/>
        <v>0.68998109640831762</v>
      </c>
      <c r="AB1234" s="5">
        <f t="shared" si="456"/>
        <v>45292</v>
      </c>
      <c r="AC1234" s="5">
        <f t="shared" si="457"/>
        <v>45657</v>
      </c>
      <c r="AD1234" s="1">
        <v>24</v>
      </c>
      <c r="AE1234" s="1">
        <f t="shared" si="458"/>
        <v>366</v>
      </c>
      <c r="AF1234" s="1">
        <f t="shared" si="459"/>
        <v>0</v>
      </c>
      <c r="AG1234" s="1">
        <f t="shared" si="460"/>
        <v>0</v>
      </c>
      <c r="AH1234" s="1">
        <f t="shared" si="461"/>
        <v>0</v>
      </c>
      <c r="AI1234" s="1">
        <f t="shared" si="462"/>
        <v>0</v>
      </c>
      <c r="AJ1234" s="3">
        <f t="shared" si="463"/>
        <v>1</v>
      </c>
      <c r="AK1234" s="3">
        <f t="shared" si="464"/>
        <v>0.68998109640831762</v>
      </c>
      <c r="AL1234" s="3">
        <f t="shared" si="465"/>
        <v>16.559546313799622</v>
      </c>
      <c r="AM1234" s="3">
        <f t="shared" si="466"/>
        <v>16.559546313799622</v>
      </c>
      <c r="AN1234" s="3">
        <f t="shared" si="467"/>
        <v>0</v>
      </c>
      <c r="AO1234" s="3">
        <f t="shared" si="468"/>
        <v>16.559546313799622</v>
      </c>
      <c r="AP1234" s="1" t="str">
        <f>INDEX({"EAD";"EAD";"EAD";"EAD MOOC";"EAD";"EAD";"EAD FP";"EAD";"PRESENCIAL";"PRESENCIAL";"PRESENCIAL";"PRESENCIAL"}, MATCH(CONCATENATE(E1234, ".", F1234),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35" spans="1:42" x14ac:dyDescent="0.25">
      <c r="A1235" s="1" t="s">
        <v>27</v>
      </c>
      <c r="B1235" s="1" t="s">
        <v>62</v>
      </c>
      <c r="C1235" s="1" t="s">
        <v>29</v>
      </c>
      <c r="D1235" s="1" t="s">
        <v>63</v>
      </c>
      <c r="E1235" s="1" t="s">
        <v>120</v>
      </c>
      <c r="F1235" s="1" t="s">
        <v>21</v>
      </c>
      <c r="G1235" s="1" t="s">
        <v>140</v>
      </c>
      <c r="H1235" s="1" t="s">
        <v>1362</v>
      </c>
      <c r="I1235" s="1" t="s">
        <v>107</v>
      </c>
      <c r="J1235" s="1" t="s">
        <v>108</v>
      </c>
      <c r="K1235" s="1" t="s">
        <v>109</v>
      </c>
      <c r="L1235" s="1">
        <v>2947097</v>
      </c>
      <c r="M1235" s="1" t="s">
        <v>1395</v>
      </c>
      <c r="N1235" s="5">
        <f>DATE(2023,1,30)</f>
        <v>44956</v>
      </c>
      <c r="O1235" s="5">
        <f>DATE(2025,12,22)</f>
        <v>46013</v>
      </c>
      <c r="P1235" s="5">
        <f t="shared" si="449"/>
        <v>47108</v>
      </c>
      <c r="Q1235" s="1">
        <v>2640</v>
      </c>
      <c r="R1235" s="1">
        <v>2400</v>
      </c>
      <c r="S1235" s="1">
        <f t="shared" si="450"/>
        <v>2400</v>
      </c>
      <c r="T1235" s="1">
        <v>2.5</v>
      </c>
      <c r="U1235" s="1" t="str">
        <f t="shared" si="451"/>
        <v>SIM</v>
      </c>
      <c r="V1235" s="1">
        <f t="shared" si="452"/>
        <v>1058</v>
      </c>
      <c r="W1235" s="4">
        <f t="shared" si="453"/>
        <v>2.2684310018903591</v>
      </c>
      <c r="X1235" s="4">
        <f t="shared" si="454"/>
        <v>827.97731568998108</v>
      </c>
      <c r="Y1235" s="4">
        <f t="shared" si="455"/>
        <v>1.0349716446124764</v>
      </c>
      <c r="AB1235" s="5">
        <f t="shared" si="456"/>
        <v>45292</v>
      </c>
      <c r="AC1235" s="5">
        <f t="shared" si="457"/>
        <v>45657</v>
      </c>
      <c r="AD1235" s="1">
        <v>32</v>
      </c>
      <c r="AE1235" s="1">
        <f t="shared" si="458"/>
        <v>366</v>
      </c>
      <c r="AF1235" s="1">
        <f t="shared" si="459"/>
        <v>0</v>
      </c>
      <c r="AG1235" s="1">
        <f t="shared" si="460"/>
        <v>0</v>
      </c>
      <c r="AH1235" s="1">
        <f t="shared" si="461"/>
        <v>0</v>
      </c>
      <c r="AI1235" s="1">
        <f t="shared" si="462"/>
        <v>0</v>
      </c>
      <c r="AJ1235" s="3">
        <f t="shared" si="463"/>
        <v>1</v>
      </c>
      <c r="AK1235" s="3">
        <f t="shared" si="464"/>
        <v>1.0349716446124764</v>
      </c>
      <c r="AL1235" s="3">
        <f t="shared" si="465"/>
        <v>33.119092627599244</v>
      </c>
      <c r="AM1235" s="3">
        <f t="shared" si="466"/>
        <v>82.797731568998103</v>
      </c>
      <c r="AN1235" s="3">
        <f t="shared" si="467"/>
        <v>41.398865784499051</v>
      </c>
      <c r="AO1235" s="3">
        <f t="shared" si="468"/>
        <v>124.19659735349715</v>
      </c>
      <c r="AP1235" s="1" t="str">
        <f>INDEX({"EAD";"EAD";"EAD";"EAD MOOC";"EAD";"EAD";"EAD FP";"EAD";"PRESENCIAL";"PRESENCIAL";"PRESENCIAL";"PRESENCIAL"}, MATCH(CONCATENATE(E1235, ".", F1235),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36" spans="1:42" x14ac:dyDescent="0.25">
      <c r="A1236" s="1" t="s">
        <v>27</v>
      </c>
      <c r="B1236" s="1" t="s">
        <v>62</v>
      </c>
      <c r="C1236" s="1" t="s">
        <v>29</v>
      </c>
      <c r="D1236" s="1" t="s">
        <v>63</v>
      </c>
      <c r="E1236" s="1" t="s">
        <v>120</v>
      </c>
      <c r="F1236" s="1" t="s">
        <v>21</v>
      </c>
      <c r="G1236" s="1" t="s">
        <v>121</v>
      </c>
      <c r="H1236" s="1" t="s">
        <v>1360</v>
      </c>
      <c r="I1236" s="1" t="s">
        <v>107</v>
      </c>
      <c r="J1236" s="1" t="s">
        <v>108</v>
      </c>
      <c r="K1236" s="1" t="s">
        <v>109</v>
      </c>
      <c r="L1236" s="1">
        <v>2947098</v>
      </c>
      <c r="M1236" s="1" t="s">
        <v>1396</v>
      </c>
      <c r="N1236" s="5">
        <f>DATE(2023,1,30)</f>
        <v>44956</v>
      </c>
      <c r="O1236" s="5">
        <f>DATE(2027,12,22)</f>
        <v>46743</v>
      </c>
      <c r="P1236" s="5">
        <f t="shared" si="449"/>
        <v>47838</v>
      </c>
      <c r="Q1236" s="1">
        <v>4579</v>
      </c>
      <c r="R1236" s="1">
        <v>3600</v>
      </c>
      <c r="S1236" s="1">
        <f t="shared" si="450"/>
        <v>3600</v>
      </c>
      <c r="T1236" s="1">
        <v>2.5</v>
      </c>
      <c r="U1236" s="1" t="str">
        <f t="shared" si="451"/>
        <v>SIM</v>
      </c>
      <c r="V1236" s="1">
        <f t="shared" si="452"/>
        <v>1788</v>
      </c>
      <c r="W1236" s="4">
        <f t="shared" si="453"/>
        <v>2.0134228187919465</v>
      </c>
      <c r="X1236" s="4">
        <f t="shared" si="454"/>
        <v>734.89932885906046</v>
      </c>
      <c r="Y1236" s="4">
        <f t="shared" si="455"/>
        <v>0.91862416107382561</v>
      </c>
      <c r="AB1236" s="5">
        <f t="shared" si="456"/>
        <v>45292</v>
      </c>
      <c r="AC1236" s="5">
        <f t="shared" si="457"/>
        <v>45657</v>
      </c>
      <c r="AD1236" s="1">
        <v>35</v>
      </c>
      <c r="AE1236" s="1">
        <f t="shared" si="458"/>
        <v>366</v>
      </c>
      <c r="AF1236" s="1">
        <f t="shared" si="459"/>
        <v>0</v>
      </c>
      <c r="AG1236" s="1">
        <f t="shared" si="460"/>
        <v>0</v>
      </c>
      <c r="AH1236" s="1">
        <f t="shared" si="461"/>
        <v>0</v>
      </c>
      <c r="AI1236" s="1">
        <f t="shared" si="462"/>
        <v>0</v>
      </c>
      <c r="AJ1236" s="3">
        <f t="shared" si="463"/>
        <v>1</v>
      </c>
      <c r="AK1236" s="3">
        <f t="shared" si="464"/>
        <v>0.91862416107382561</v>
      </c>
      <c r="AL1236" s="3">
        <f t="shared" si="465"/>
        <v>32.151845637583897</v>
      </c>
      <c r="AM1236" s="3">
        <f t="shared" si="466"/>
        <v>80.379614093959745</v>
      </c>
      <c r="AN1236" s="3">
        <f t="shared" si="467"/>
        <v>40.189807046979872</v>
      </c>
      <c r="AO1236" s="3">
        <f t="shared" si="468"/>
        <v>120.56942114093962</v>
      </c>
      <c r="AP1236" s="1" t="str">
        <f>INDEX({"EAD";"EAD";"EAD";"EAD MOOC";"EAD";"EAD";"EAD FP";"EAD";"PRESENCIAL";"PRESENCIAL";"PRESENCIAL";"PRESENCIAL"}, MATCH(CONCATENATE(E1236, ".", F1236),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37" spans="1:42" x14ac:dyDescent="0.25">
      <c r="A1237" s="1" t="s">
        <v>27</v>
      </c>
      <c r="B1237" s="1" t="s">
        <v>62</v>
      </c>
      <c r="C1237" s="1" t="s">
        <v>29</v>
      </c>
      <c r="D1237" s="1" t="s">
        <v>63</v>
      </c>
      <c r="E1237" s="1" t="s">
        <v>120</v>
      </c>
      <c r="F1237" s="1" t="s">
        <v>21</v>
      </c>
      <c r="G1237" s="1" t="s">
        <v>178</v>
      </c>
      <c r="H1237" s="1" t="s">
        <v>1397</v>
      </c>
      <c r="I1237" s="1" t="s">
        <v>172</v>
      </c>
      <c r="J1237" s="1" t="s">
        <v>125</v>
      </c>
      <c r="K1237" s="1" t="s">
        <v>109</v>
      </c>
      <c r="L1237" s="1">
        <v>2956171</v>
      </c>
      <c r="M1237" s="1" t="s">
        <v>1398</v>
      </c>
      <c r="N1237" s="5">
        <f>DATE(2023,3,17)</f>
        <v>45002</v>
      </c>
      <c r="O1237" s="5">
        <f>DATE(2024,9,20)</f>
        <v>45555</v>
      </c>
      <c r="P1237" s="5">
        <f t="shared" si="449"/>
        <v>46650</v>
      </c>
      <c r="Q1237" s="1">
        <v>435</v>
      </c>
      <c r="R1237" s="1">
        <v>360</v>
      </c>
      <c r="S1237" s="1">
        <f t="shared" si="450"/>
        <v>360</v>
      </c>
      <c r="T1237" s="1">
        <v>2</v>
      </c>
      <c r="U1237" s="1" t="str">
        <f t="shared" si="451"/>
        <v>SIM</v>
      </c>
      <c r="V1237" s="1">
        <f t="shared" si="452"/>
        <v>554</v>
      </c>
      <c r="W1237" s="4">
        <f t="shared" si="453"/>
        <v>0.64981949458483756</v>
      </c>
      <c r="X1237" s="4">
        <f t="shared" si="454"/>
        <v>237.18411552346572</v>
      </c>
      <c r="Y1237" s="4">
        <f t="shared" si="455"/>
        <v>0.29648014440433212</v>
      </c>
      <c r="AB1237" s="5">
        <f t="shared" si="456"/>
        <v>45292</v>
      </c>
      <c r="AC1237" s="5">
        <f t="shared" si="457"/>
        <v>45657</v>
      </c>
      <c r="AD1237" s="1">
        <v>30</v>
      </c>
      <c r="AE1237" s="1">
        <f t="shared" si="458"/>
        <v>0</v>
      </c>
      <c r="AF1237" s="1">
        <f t="shared" si="459"/>
        <v>0</v>
      </c>
      <c r="AG1237" s="1">
        <f t="shared" si="460"/>
        <v>264</v>
      </c>
      <c r="AH1237" s="1">
        <f t="shared" si="461"/>
        <v>0</v>
      </c>
      <c r="AI1237" s="1">
        <f t="shared" si="462"/>
        <v>0</v>
      </c>
      <c r="AJ1237" s="3">
        <f t="shared" si="463"/>
        <v>0.72131147540983609</v>
      </c>
      <c r="AK1237" s="3">
        <f t="shared" si="464"/>
        <v>0.21385453039001007</v>
      </c>
      <c r="AL1237" s="3">
        <f t="shared" si="465"/>
        <v>6.4156359117003019</v>
      </c>
      <c r="AM1237" s="3">
        <f t="shared" si="466"/>
        <v>12.831271823400604</v>
      </c>
      <c r="AN1237" s="3">
        <f t="shared" si="467"/>
        <v>0</v>
      </c>
      <c r="AO1237" s="3">
        <f t="shared" si="468"/>
        <v>12.831271823400604</v>
      </c>
      <c r="AP1237" s="1" t="str">
        <f>INDEX({"EAD";"EAD";"EAD";"EAD MOOC";"EAD";"EAD";"EAD FP";"EAD";"PRESENCIAL";"PRESENCIAL";"PRESENCIAL";"PRESENCIAL"}, MATCH(CONCATENATE(E1237, ".", F1237),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38" spans="1:42" x14ac:dyDescent="0.25">
      <c r="A1238" s="1" t="s">
        <v>27</v>
      </c>
      <c r="B1238" s="1" t="s">
        <v>62</v>
      </c>
      <c r="C1238" s="1" t="s">
        <v>29</v>
      </c>
      <c r="D1238" s="1" t="s">
        <v>63</v>
      </c>
      <c r="E1238" s="1" t="s">
        <v>120</v>
      </c>
      <c r="F1238" s="1" t="s">
        <v>21</v>
      </c>
      <c r="G1238" s="1" t="s">
        <v>178</v>
      </c>
      <c r="H1238" s="1" t="s">
        <v>1399</v>
      </c>
      <c r="I1238" s="1" t="s">
        <v>224</v>
      </c>
      <c r="J1238" s="1" t="s">
        <v>125</v>
      </c>
      <c r="K1238" s="1" t="s">
        <v>109</v>
      </c>
      <c r="L1238" s="1">
        <v>2956172</v>
      </c>
      <c r="M1238" s="1" t="s">
        <v>1400</v>
      </c>
      <c r="N1238" s="5">
        <f>DATE(2023,3,17)</f>
        <v>45002</v>
      </c>
      <c r="O1238" s="5">
        <f>DATE(2024,9,20)</f>
        <v>45555</v>
      </c>
      <c r="P1238" s="5">
        <f t="shared" si="449"/>
        <v>46650</v>
      </c>
      <c r="Q1238" s="1">
        <v>435</v>
      </c>
      <c r="R1238" s="1">
        <v>360</v>
      </c>
      <c r="S1238" s="1">
        <f t="shared" si="450"/>
        <v>360</v>
      </c>
      <c r="T1238" s="1">
        <v>2.5</v>
      </c>
      <c r="U1238" s="1" t="str">
        <f t="shared" si="451"/>
        <v>SIM</v>
      </c>
      <c r="V1238" s="1">
        <f t="shared" si="452"/>
        <v>554</v>
      </c>
      <c r="W1238" s="4">
        <f t="shared" si="453"/>
        <v>0.64981949458483756</v>
      </c>
      <c r="X1238" s="4">
        <f t="shared" si="454"/>
        <v>237.18411552346572</v>
      </c>
      <c r="Y1238" s="4">
        <f t="shared" si="455"/>
        <v>0.29648014440433212</v>
      </c>
      <c r="AB1238" s="5">
        <f t="shared" si="456"/>
        <v>45292</v>
      </c>
      <c r="AC1238" s="5">
        <f t="shared" si="457"/>
        <v>45657</v>
      </c>
      <c r="AD1238" s="1">
        <v>17</v>
      </c>
      <c r="AE1238" s="1">
        <f t="shared" si="458"/>
        <v>0</v>
      </c>
      <c r="AF1238" s="1">
        <f t="shared" si="459"/>
        <v>0</v>
      </c>
      <c r="AG1238" s="1">
        <f t="shared" si="460"/>
        <v>264</v>
      </c>
      <c r="AH1238" s="1">
        <f t="shared" si="461"/>
        <v>0</v>
      </c>
      <c r="AI1238" s="1">
        <f t="shared" si="462"/>
        <v>0</v>
      </c>
      <c r="AJ1238" s="3">
        <f t="shared" si="463"/>
        <v>0.72131147540983609</v>
      </c>
      <c r="AK1238" s="3">
        <f t="shared" si="464"/>
        <v>0.21385453039001007</v>
      </c>
      <c r="AL1238" s="3">
        <f t="shared" si="465"/>
        <v>3.6355270166301712</v>
      </c>
      <c r="AM1238" s="3">
        <f t="shared" si="466"/>
        <v>9.0888175415754286</v>
      </c>
      <c r="AN1238" s="3">
        <f t="shared" si="467"/>
        <v>0</v>
      </c>
      <c r="AO1238" s="3">
        <f t="shared" si="468"/>
        <v>9.0888175415754286</v>
      </c>
      <c r="AP1238" s="1" t="str">
        <f>INDEX({"EAD";"EAD";"EAD";"EAD MOOC";"EAD";"EAD";"EAD FP";"EAD";"PRESENCIAL";"PRESENCIAL";"PRESENCIAL";"PRESENCIAL"}, MATCH(CONCATENATE(E1238, ".", F1238),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39" spans="1:42" x14ac:dyDescent="0.25">
      <c r="A1239" s="1" t="s">
        <v>27</v>
      </c>
      <c r="B1239" s="1" t="s">
        <v>62</v>
      </c>
      <c r="C1239" s="1" t="s">
        <v>29</v>
      </c>
      <c r="D1239" s="1" t="s">
        <v>63</v>
      </c>
      <c r="E1239" s="1" t="s">
        <v>170</v>
      </c>
      <c r="F1239" s="1" t="s">
        <v>447</v>
      </c>
      <c r="G1239" s="1" t="s">
        <v>128</v>
      </c>
      <c r="H1239" s="1" t="s">
        <v>171</v>
      </c>
      <c r="I1239" s="1" t="s">
        <v>172</v>
      </c>
      <c r="J1239" s="1" t="s">
        <v>125</v>
      </c>
      <c r="K1239" s="1" t="s">
        <v>163</v>
      </c>
      <c r="L1239" s="1">
        <v>2961834</v>
      </c>
      <c r="M1239" s="1" t="s">
        <v>300</v>
      </c>
      <c r="N1239" s="5">
        <f>DATE(2023,4,3)</f>
        <v>45019</v>
      </c>
      <c r="O1239" s="5">
        <f>DATE(2024,10,31)</f>
        <v>45596</v>
      </c>
      <c r="P1239" s="5">
        <f t="shared" si="449"/>
        <v>46691</v>
      </c>
      <c r="Q1239" s="1">
        <v>1200</v>
      </c>
      <c r="R1239" s="1">
        <v>1200</v>
      </c>
      <c r="S1239" s="1">
        <f t="shared" si="450"/>
        <v>1200</v>
      </c>
      <c r="T1239" s="1">
        <v>2</v>
      </c>
      <c r="U1239" s="1" t="str">
        <f t="shared" si="451"/>
        <v>SIM</v>
      </c>
      <c r="V1239" s="1">
        <f t="shared" si="452"/>
        <v>578</v>
      </c>
      <c r="W1239" s="4">
        <f t="shared" si="453"/>
        <v>2.0761245674740483</v>
      </c>
      <c r="X1239" s="4">
        <f t="shared" si="454"/>
        <v>757.78546712802768</v>
      </c>
      <c r="Y1239" s="4">
        <f t="shared" si="455"/>
        <v>0.94723183391003463</v>
      </c>
      <c r="AB1239" s="5">
        <f t="shared" si="456"/>
        <v>45292</v>
      </c>
      <c r="AC1239" s="5">
        <f t="shared" si="457"/>
        <v>45657</v>
      </c>
      <c r="AD1239" s="1">
        <v>13</v>
      </c>
      <c r="AE1239" s="1">
        <f t="shared" si="458"/>
        <v>0</v>
      </c>
      <c r="AF1239" s="1">
        <f t="shared" si="459"/>
        <v>0</v>
      </c>
      <c r="AG1239" s="1">
        <f t="shared" si="460"/>
        <v>305</v>
      </c>
      <c r="AH1239" s="1">
        <f t="shared" si="461"/>
        <v>0</v>
      </c>
      <c r="AI1239" s="1">
        <f t="shared" si="462"/>
        <v>0</v>
      </c>
      <c r="AJ1239" s="3">
        <f t="shared" si="463"/>
        <v>0.83333333333333337</v>
      </c>
      <c r="AK1239" s="3">
        <f t="shared" si="464"/>
        <v>0.78935986159169558</v>
      </c>
      <c r="AL1239" s="3">
        <f t="shared" si="465"/>
        <v>10.261678200692042</v>
      </c>
      <c r="AM1239" s="3">
        <f t="shared" si="466"/>
        <v>20.523356401384085</v>
      </c>
      <c r="AN1239" s="3">
        <f t="shared" si="467"/>
        <v>0</v>
      </c>
      <c r="AO1239" s="3">
        <f t="shared" si="468"/>
        <v>20.523356401384085</v>
      </c>
      <c r="AP1239" s="1" t="str">
        <f>INDEX({"EAD";"EAD";"EAD";"EAD MOOC";"EAD";"EAD";"EAD FP";"EAD";"PRESENCIAL";"PRESENCIAL";"PRESENCIAL";"PRESENCIAL"}, MATCH(CONCATENATE(E1239, ".", F1239),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1240" spans="1:42" x14ac:dyDescent="0.25">
      <c r="A1240" s="1" t="s">
        <v>27</v>
      </c>
      <c r="B1240" s="1" t="s">
        <v>62</v>
      </c>
      <c r="C1240" s="1" t="s">
        <v>29</v>
      </c>
      <c r="D1240" s="1" t="s">
        <v>63</v>
      </c>
      <c r="E1240" s="1" t="s">
        <v>170</v>
      </c>
      <c r="F1240" s="1" t="s">
        <v>447</v>
      </c>
      <c r="G1240" s="1" t="s">
        <v>128</v>
      </c>
      <c r="H1240" s="1" t="s">
        <v>174</v>
      </c>
      <c r="I1240" s="1" t="s">
        <v>172</v>
      </c>
      <c r="J1240" s="1" t="s">
        <v>125</v>
      </c>
      <c r="K1240" s="1" t="s">
        <v>163</v>
      </c>
      <c r="L1240" s="1">
        <v>2961837</v>
      </c>
      <c r="M1240" s="1" t="s">
        <v>301</v>
      </c>
      <c r="N1240" s="5">
        <f>DATE(2023,4,3)</f>
        <v>45019</v>
      </c>
      <c r="O1240" s="5">
        <f>DATE(2024,10,31)</f>
        <v>45596</v>
      </c>
      <c r="P1240" s="5">
        <f t="shared" si="449"/>
        <v>46691</v>
      </c>
      <c r="Q1240" s="1">
        <v>1200</v>
      </c>
      <c r="R1240" s="1">
        <v>1200</v>
      </c>
      <c r="S1240" s="1">
        <f t="shared" si="450"/>
        <v>1200</v>
      </c>
      <c r="T1240" s="1">
        <v>1</v>
      </c>
      <c r="U1240" s="1" t="str">
        <f t="shared" si="451"/>
        <v>SIM</v>
      </c>
      <c r="V1240" s="1">
        <f t="shared" si="452"/>
        <v>578</v>
      </c>
      <c r="W1240" s="4">
        <f t="shared" si="453"/>
        <v>2.0761245674740483</v>
      </c>
      <c r="X1240" s="4">
        <f t="shared" si="454"/>
        <v>757.78546712802768</v>
      </c>
      <c r="Y1240" s="4">
        <f t="shared" si="455"/>
        <v>0.94723183391003463</v>
      </c>
      <c r="AB1240" s="5">
        <f t="shared" si="456"/>
        <v>45292</v>
      </c>
      <c r="AC1240" s="5">
        <f t="shared" si="457"/>
        <v>45657</v>
      </c>
      <c r="AD1240" s="1">
        <v>23</v>
      </c>
      <c r="AE1240" s="1">
        <f t="shared" si="458"/>
        <v>0</v>
      </c>
      <c r="AF1240" s="1">
        <f t="shared" si="459"/>
        <v>0</v>
      </c>
      <c r="AG1240" s="1">
        <f t="shared" si="460"/>
        <v>305</v>
      </c>
      <c r="AH1240" s="1">
        <f t="shared" si="461"/>
        <v>0</v>
      </c>
      <c r="AI1240" s="1">
        <f t="shared" si="462"/>
        <v>0</v>
      </c>
      <c r="AJ1240" s="3">
        <f t="shared" si="463"/>
        <v>0.83333333333333337</v>
      </c>
      <c r="AK1240" s="3">
        <f t="shared" si="464"/>
        <v>0.78935986159169558</v>
      </c>
      <c r="AL1240" s="3">
        <f t="shared" si="465"/>
        <v>18.155276816609</v>
      </c>
      <c r="AM1240" s="3">
        <f t="shared" si="466"/>
        <v>18.155276816609</v>
      </c>
      <c r="AN1240" s="3">
        <f t="shared" si="467"/>
        <v>0</v>
      </c>
      <c r="AO1240" s="3">
        <f t="shared" si="468"/>
        <v>18.155276816609</v>
      </c>
      <c r="AP1240" s="1" t="str">
        <f>INDEX({"EAD";"EAD";"EAD";"EAD MOOC";"EAD";"EAD";"EAD FP";"EAD";"PRESENCIAL";"PRESENCIAL";"PRESENCIAL";"PRESENCIAL"}, MATCH(CONCATENATE(E1240, ".", F1240),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1241" spans="1:42" x14ac:dyDescent="0.25">
      <c r="A1241" s="1" t="s">
        <v>27</v>
      </c>
      <c r="B1241" s="1" t="s">
        <v>62</v>
      </c>
      <c r="C1241" s="1" t="s">
        <v>29</v>
      </c>
      <c r="D1241" s="1" t="s">
        <v>63</v>
      </c>
      <c r="E1241" s="1" t="s">
        <v>170</v>
      </c>
      <c r="F1241" s="1" t="s">
        <v>447</v>
      </c>
      <c r="G1241" s="1" t="s">
        <v>128</v>
      </c>
      <c r="H1241" s="1" t="s">
        <v>176</v>
      </c>
      <c r="I1241" s="1" t="s">
        <v>172</v>
      </c>
      <c r="J1241" s="1" t="s">
        <v>125</v>
      </c>
      <c r="K1241" s="1" t="s">
        <v>163</v>
      </c>
      <c r="L1241" s="1">
        <v>2961843</v>
      </c>
      <c r="M1241" s="1" t="s">
        <v>302</v>
      </c>
      <c r="N1241" s="5">
        <f>DATE(2023,4,3)</f>
        <v>45019</v>
      </c>
      <c r="O1241" s="5">
        <f>DATE(2024,10,31)</f>
        <v>45596</v>
      </c>
      <c r="P1241" s="5">
        <f t="shared" si="449"/>
        <v>46691</v>
      </c>
      <c r="Q1241" s="1">
        <v>1200</v>
      </c>
      <c r="R1241" s="1">
        <v>800</v>
      </c>
      <c r="S1241" s="1">
        <f t="shared" si="450"/>
        <v>800</v>
      </c>
      <c r="T1241" s="1">
        <v>1.5</v>
      </c>
      <c r="U1241" s="1" t="str">
        <f t="shared" si="451"/>
        <v>SIM</v>
      </c>
      <c r="V1241" s="1">
        <f t="shared" si="452"/>
        <v>578</v>
      </c>
      <c r="W1241" s="4">
        <f t="shared" si="453"/>
        <v>1.3840830449826989</v>
      </c>
      <c r="X1241" s="4">
        <f t="shared" si="454"/>
        <v>505.1903114186851</v>
      </c>
      <c r="Y1241" s="4">
        <f t="shared" si="455"/>
        <v>0.63148788927335642</v>
      </c>
      <c r="AB1241" s="5">
        <f t="shared" si="456"/>
        <v>45292</v>
      </c>
      <c r="AC1241" s="5">
        <f t="shared" si="457"/>
        <v>45657</v>
      </c>
      <c r="AD1241" s="1">
        <v>13</v>
      </c>
      <c r="AE1241" s="1">
        <f t="shared" si="458"/>
        <v>0</v>
      </c>
      <c r="AF1241" s="1">
        <f t="shared" si="459"/>
        <v>0</v>
      </c>
      <c r="AG1241" s="1">
        <f t="shared" si="460"/>
        <v>305</v>
      </c>
      <c r="AH1241" s="1">
        <f t="shared" si="461"/>
        <v>0</v>
      </c>
      <c r="AI1241" s="1">
        <f t="shared" si="462"/>
        <v>0</v>
      </c>
      <c r="AJ1241" s="3">
        <f t="shared" si="463"/>
        <v>0.83333333333333337</v>
      </c>
      <c r="AK1241" s="3">
        <f t="shared" si="464"/>
        <v>0.52623990772779705</v>
      </c>
      <c r="AL1241" s="3">
        <f t="shared" si="465"/>
        <v>6.8411188004613619</v>
      </c>
      <c r="AM1241" s="3">
        <f t="shared" si="466"/>
        <v>10.261678200692042</v>
      </c>
      <c r="AN1241" s="3">
        <f t="shared" si="467"/>
        <v>0</v>
      </c>
      <c r="AO1241" s="3">
        <f t="shared" si="468"/>
        <v>10.261678200692042</v>
      </c>
      <c r="AP1241" s="1" t="str">
        <f>INDEX({"EAD";"EAD";"EAD";"EAD MOOC";"EAD";"EAD";"EAD FP";"EAD";"PRESENCIAL";"PRESENCIAL";"PRESENCIAL";"PRESENCIAL"}, MATCH(CONCATENATE(E1241, ".", F1241),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1242" spans="1:42" x14ac:dyDescent="0.25">
      <c r="A1242" s="1" t="s">
        <v>27</v>
      </c>
      <c r="B1242" s="1" t="s">
        <v>62</v>
      </c>
      <c r="C1242" s="1" t="s">
        <v>29</v>
      </c>
      <c r="D1242" s="1" t="s">
        <v>63</v>
      </c>
      <c r="E1242" s="1" t="s">
        <v>120</v>
      </c>
      <c r="F1242" s="1" t="s">
        <v>447</v>
      </c>
      <c r="G1242" s="1" t="s">
        <v>128</v>
      </c>
      <c r="H1242" s="1" t="s">
        <v>132</v>
      </c>
      <c r="I1242" s="1" t="s">
        <v>107</v>
      </c>
      <c r="J1242" s="1" t="s">
        <v>108</v>
      </c>
      <c r="K1242" s="1" t="s">
        <v>163</v>
      </c>
      <c r="L1242" s="1">
        <v>2996161</v>
      </c>
      <c r="M1242" s="1" t="s">
        <v>1401</v>
      </c>
      <c r="N1242" s="5">
        <f>DATE(2023,6,2)</f>
        <v>45079</v>
      </c>
      <c r="O1242" s="5">
        <f>DATE(2025,5,31)</f>
        <v>45808</v>
      </c>
      <c r="P1242" s="5">
        <f t="shared" si="449"/>
        <v>46903</v>
      </c>
      <c r="Q1242" s="1">
        <v>1300</v>
      </c>
      <c r="R1242" s="1">
        <v>1200</v>
      </c>
      <c r="S1242" s="1">
        <f t="shared" si="450"/>
        <v>1200</v>
      </c>
      <c r="T1242" s="1">
        <v>2.5</v>
      </c>
      <c r="U1242" s="1" t="str">
        <f t="shared" si="451"/>
        <v>SIM</v>
      </c>
      <c r="V1242" s="1">
        <f t="shared" si="452"/>
        <v>730</v>
      </c>
      <c r="W1242" s="4">
        <f t="shared" si="453"/>
        <v>1.6438356164383561</v>
      </c>
      <c r="X1242" s="4">
        <f t="shared" si="454"/>
        <v>600</v>
      </c>
      <c r="Y1242" s="4">
        <f t="shared" si="455"/>
        <v>0.75</v>
      </c>
      <c r="AB1242" s="5">
        <f t="shared" si="456"/>
        <v>45292</v>
      </c>
      <c r="AC1242" s="5">
        <f t="shared" si="457"/>
        <v>45657</v>
      </c>
      <c r="AD1242" s="1">
        <v>67</v>
      </c>
      <c r="AE1242" s="1">
        <f t="shared" si="458"/>
        <v>366</v>
      </c>
      <c r="AF1242" s="1">
        <f t="shared" si="459"/>
        <v>0</v>
      </c>
      <c r="AG1242" s="1">
        <f t="shared" si="460"/>
        <v>0</v>
      </c>
      <c r="AH1242" s="1">
        <f t="shared" si="461"/>
        <v>0</v>
      </c>
      <c r="AI1242" s="1">
        <f t="shared" si="462"/>
        <v>0</v>
      </c>
      <c r="AJ1242" s="3">
        <f t="shared" si="463"/>
        <v>1</v>
      </c>
      <c r="AK1242" s="3">
        <f t="shared" si="464"/>
        <v>0.75</v>
      </c>
      <c r="AL1242" s="3">
        <f t="shared" si="465"/>
        <v>50.25</v>
      </c>
      <c r="AM1242" s="3">
        <f t="shared" si="466"/>
        <v>125.625</v>
      </c>
      <c r="AN1242" s="3">
        <f t="shared" si="467"/>
        <v>62.8125</v>
      </c>
      <c r="AO1242" s="3">
        <f t="shared" si="468"/>
        <v>188.4375</v>
      </c>
      <c r="AP1242" s="1" t="str">
        <f>INDEX({"EAD";"EAD";"EAD";"EAD MOOC";"EAD";"EAD";"EAD FP";"EAD";"PRESENCIAL";"PRESENCIAL";"PRESENCIAL";"PRESENCIAL"}, MATCH(CONCATENATE(E1242, ".", F1242),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43" spans="1:42" x14ac:dyDescent="0.25">
      <c r="A1243" s="1" t="s">
        <v>27</v>
      </c>
      <c r="B1243" s="1" t="s">
        <v>62</v>
      </c>
      <c r="C1243" s="1" t="s">
        <v>29</v>
      </c>
      <c r="D1243" s="1" t="s">
        <v>63</v>
      </c>
      <c r="E1243" s="1" t="s">
        <v>120</v>
      </c>
      <c r="F1243" s="1" t="s">
        <v>447</v>
      </c>
      <c r="G1243" s="1" t="s">
        <v>128</v>
      </c>
      <c r="H1243" s="1" t="s">
        <v>132</v>
      </c>
      <c r="I1243" s="1" t="s">
        <v>107</v>
      </c>
      <c r="J1243" s="1" t="s">
        <v>108</v>
      </c>
      <c r="K1243" s="1" t="s">
        <v>259</v>
      </c>
      <c r="L1243" s="1">
        <v>3105561</v>
      </c>
      <c r="M1243" s="1" t="s">
        <v>1031</v>
      </c>
      <c r="N1243" s="5">
        <f>DATE(2023,9,1)</f>
        <v>45170</v>
      </c>
      <c r="O1243" s="5">
        <f>DATE(2025,12,31)</f>
        <v>46022</v>
      </c>
      <c r="P1243" s="5">
        <f t="shared" si="449"/>
        <v>47117</v>
      </c>
      <c r="Q1243" s="1">
        <v>1200</v>
      </c>
      <c r="R1243" s="1">
        <v>1200</v>
      </c>
      <c r="S1243" s="1">
        <f t="shared" si="450"/>
        <v>1200</v>
      </c>
      <c r="T1243" s="1">
        <v>2.5</v>
      </c>
      <c r="U1243" s="1" t="str">
        <f t="shared" si="451"/>
        <v>SIM</v>
      </c>
      <c r="V1243" s="1">
        <f t="shared" si="452"/>
        <v>853</v>
      </c>
      <c r="W1243" s="4">
        <f t="shared" si="453"/>
        <v>1.4067995310668229</v>
      </c>
      <c r="X1243" s="4">
        <f t="shared" si="454"/>
        <v>513.48182883939035</v>
      </c>
      <c r="Y1243" s="4">
        <f t="shared" si="455"/>
        <v>0.64185228604923794</v>
      </c>
      <c r="AB1243" s="5">
        <f t="shared" si="456"/>
        <v>45292</v>
      </c>
      <c r="AC1243" s="5">
        <f t="shared" si="457"/>
        <v>45657</v>
      </c>
      <c r="AD1243" s="1">
        <v>27</v>
      </c>
      <c r="AE1243" s="1">
        <f t="shared" si="458"/>
        <v>366</v>
      </c>
      <c r="AF1243" s="1">
        <f t="shared" si="459"/>
        <v>0</v>
      </c>
      <c r="AG1243" s="1">
        <f t="shared" si="460"/>
        <v>0</v>
      </c>
      <c r="AH1243" s="1">
        <f t="shared" si="461"/>
        <v>0</v>
      </c>
      <c r="AI1243" s="1">
        <f t="shared" si="462"/>
        <v>0</v>
      </c>
      <c r="AJ1243" s="3">
        <f t="shared" si="463"/>
        <v>1</v>
      </c>
      <c r="AK1243" s="3">
        <f t="shared" si="464"/>
        <v>0.64185228604923794</v>
      </c>
      <c r="AL1243" s="3">
        <f t="shared" si="465"/>
        <v>17.330011723329424</v>
      </c>
      <c r="AM1243" s="3">
        <f t="shared" si="466"/>
        <v>43.325029308323558</v>
      </c>
      <c r="AN1243" s="3">
        <f t="shared" si="467"/>
        <v>21.662514654161779</v>
      </c>
      <c r="AO1243" s="3">
        <f t="shared" si="468"/>
        <v>64.987543962485333</v>
      </c>
      <c r="AP1243" s="1" t="str">
        <f>INDEX({"EAD";"EAD";"EAD";"EAD MOOC";"EAD";"EAD";"EAD FP";"EAD";"PRESENCIAL";"PRESENCIAL";"PRESENCIAL";"PRESENCIAL"}, MATCH(CONCATENATE(E1243, ".", F1243),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44" spans="1:42" x14ac:dyDescent="0.25">
      <c r="A1244" s="1" t="s">
        <v>27</v>
      </c>
      <c r="B1244" s="1" t="s">
        <v>62</v>
      </c>
      <c r="C1244" s="1" t="s">
        <v>29</v>
      </c>
      <c r="D1244" s="1" t="s">
        <v>63</v>
      </c>
      <c r="E1244" s="1" t="s">
        <v>170</v>
      </c>
      <c r="F1244" s="1" t="s">
        <v>21</v>
      </c>
      <c r="G1244" s="1" t="s">
        <v>161</v>
      </c>
      <c r="H1244" s="1" t="s">
        <v>1402</v>
      </c>
      <c r="I1244" s="1" t="s">
        <v>172</v>
      </c>
      <c r="J1244" s="1" t="s">
        <v>125</v>
      </c>
      <c r="K1244" s="1" t="s">
        <v>109</v>
      </c>
      <c r="L1244" s="1">
        <v>3072651</v>
      </c>
      <c r="M1244" s="1" t="s">
        <v>1403</v>
      </c>
      <c r="N1244" s="5">
        <f>DATE(2024,2,3)</f>
        <v>45325</v>
      </c>
      <c r="O1244" s="5">
        <f>DATE(2024,4,19)</f>
        <v>45401</v>
      </c>
      <c r="P1244" s="5">
        <f t="shared" si="449"/>
        <v>45401</v>
      </c>
      <c r="Q1244" s="1">
        <v>50</v>
      </c>
      <c r="R1244" s="1">
        <v>2400</v>
      </c>
      <c r="S1244" s="1">
        <f t="shared" si="450"/>
        <v>50</v>
      </c>
      <c r="T1244" s="1">
        <v>1</v>
      </c>
      <c r="U1244" s="1" t="str">
        <f t="shared" si="451"/>
        <v>SIM</v>
      </c>
      <c r="V1244" s="1">
        <f t="shared" si="452"/>
        <v>77</v>
      </c>
      <c r="W1244" s="4">
        <f t="shared" si="453"/>
        <v>0.64935064935064934</v>
      </c>
      <c r="X1244" s="4">
        <f t="shared" si="454"/>
        <v>50</v>
      </c>
      <c r="Y1244" s="4">
        <f t="shared" si="455"/>
        <v>6.25E-2</v>
      </c>
      <c r="AB1244" s="5">
        <f t="shared" si="456"/>
        <v>45292</v>
      </c>
      <c r="AC1244" s="5">
        <f t="shared" si="457"/>
        <v>45657</v>
      </c>
      <c r="AD1244" s="1">
        <v>48</v>
      </c>
      <c r="AE1244" s="1">
        <f t="shared" si="458"/>
        <v>0</v>
      </c>
      <c r="AF1244" s="1">
        <f t="shared" si="459"/>
        <v>0</v>
      </c>
      <c r="AG1244" s="1">
        <f t="shared" si="460"/>
        <v>0</v>
      </c>
      <c r="AH1244" s="1">
        <f t="shared" si="461"/>
        <v>77</v>
      </c>
      <c r="AI1244" s="1">
        <f t="shared" si="462"/>
        <v>0</v>
      </c>
      <c r="AJ1244" s="3">
        <f t="shared" si="463"/>
        <v>1</v>
      </c>
      <c r="AK1244" s="3">
        <f t="shared" si="464"/>
        <v>6.25E-2</v>
      </c>
      <c r="AL1244" s="3">
        <f t="shared" si="465"/>
        <v>3</v>
      </c>
      <c r="AM1244" s="3">
        <f t="shared" si="466"/>
        <v>3</v>
      </c>
      <c r="AN1244" s="3">
        <f t="shared" si="467"/>
        <v>0</v>
      </c>
      <c r="AO1244" s="3">
        <f t="shared" si="468"/>
        <v>3</v>
      </c>
      <c r="AP1244" s="1" t="str">
        <f>INDEX({"EAD";"EAD";"EAD";"EAD MOOC";"EAD";"EAD";"EAD FP";"EAD";"PRESENCIAL";"PRESENCIAL";"PRESENCIAL";"PRESENCIAL"}, MATCH(CONCATENATE(E1244, ".", F1244),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245" spans="1:42" x14ac:dyDescent="0.25">
      <c r="A1245" s="1" t="s">
        <v>27</v>
      </c>
      <c r="B1245" s="1" t="s">
        <v>62</v>
      </c>
      <c r="C1245" s="1" t="s">
        <v>29</v>
      </c>
      <c r="D1245" s="1" t="s">
        <v>63</v>
      </c>
      <c r="E1245" s="1" t="s">
        <v>120</v>
      </c>
      <c r="F1245" s="1" t="s">
        <v>21</v>
      </c>
      <c r="G1245" s="1" t="s">
        <v>128</v>
      </c>
      <c r="H1245" s="1" t="s">
        <v>227</v>
      </c>
      <c r="I1245" s="1" t="s">
        <v>228</v>
      </c>
      <c r="J1245" s="1" t="s">
        <v>125</v>
      </c>
      <c r="K1245" s="1" t="s">
        <v>130</v>
      </c>
      <c r="L1245" s="1">
        <v>3072620</v>
      </c>
      <c r="M1245" s="1" t="s">
        <v>1404</v>
      </c>
      <c r="N1245" s="5">
        <f>DATE(2024,2,5)</f>
        <v>45327</v>
      </c>
      <c r="O1245" s="5">
        <f>DATE(2026,12,18)</f>
        <v>46374</v>
      </c>
      <c r="P1245" s="5">
        <f t="shared" si="449"/>
        <v>47469</v>
      </c>
      <c r="Q1245" s="1">
        <v>3886</v>
      </c>
      <c r="R1245" s="1">
        <v>1200</v>
      </c>
      <c r="S1245" s="1">
        <f t="shared" si="450"/>
        <v>3200</v>
      </c>
      <c r="T1245" s="1">
        <v>2.5</v>
      </c>
      <c r="U1245" s="1" t="str">
        <f t="shared" si="451"/>
        <v>SIM</v>
      </c>
      <c r="V1245" s="1">
        <f t="shared" si="452"/>
        <v>1048</v>
      </c>
      <c r="W1245" s="4">
        <f t="shared" si="453"/>
        <v>3.053435114503817</v>
      </c>
      <c r="X1245" s="4">
        <f t="shared" si="454"/>
        <v>1114.5038167938933</v>
      </c>
      <c r="Y1245" s="4">
        <f t="shared" si="455"/>
        <v>1.3931297709923667</v>
      </c>
      <c r="AB1245" s="5">
        <f t="shared" si="456"/>
        <v>45292</v>
      </c>
      <c r="AC1245" s="5">
        <f t="shared" si="457"/>
        <v>45657</v>
      </c>
      <c r="AD1245" s="1">
        <v>36</v>
      </c>
      <c r="AE1245" s="1">
        <f t="shared" si="458"/>
        <v>0</v>
      </c>
      <c r="AF1245" s="1">
        <f t="shared" si="459"/>
        <v>331</v>
      </c>
      <c r="AG1245" s="1">
        <f t="shared" si="460"/>
        <v>0</v>
      </c>
      <c r="AH1245" s="1">
        <f t="shared" si="461"/>
        <v>0</v>
      </c>
      <c r="AI1245" s="1">
        <f t="shared" si="462"/>
        <v>0</v>
      </c>
      <c r="AJ1245" s="3">
        <f t="shared" si="463"/>
        <v>0.90437158469945356</v>
      </c>
      <c r="AK1245" s="3">
        <f t="shared" si="464"/>
        <v>1.2599069786843535</v>
      </c>
      <c r="AL1245" s="3">
        <f t="shared" si="465"/>
        <v>45.356651232636729</v>
      </c>
      <c r="AM1245" s="3">
        <f t="shared" si="466"/>
        <v>113.39162808159182</v>
      </c>
      <c r="AN1245" s="3">
        <f t="shared" si="467"/>
        <v>0</v>
      </c>
      <c r="AO1245" s="3">
        <f t="shared" si="468"/>
        <v>113.39162808159182</v>
      </c>
      <c r="AP1245" s="1" t="str">
        <f>INDEX({"EAD";"EAD";"EAD";"EAD MOOC";"EAD";"EAD";"EAD FP";"EAD";"PRESENCIAL";"PRESENCIAL";"PRESENCIAL";"PRESENCIAL"}, MATCH(CONCATENATE(E1245, ".", F1245),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46" spans="1:42" x14ac:dyDescent="0.25">
      <c r="A1246" s="1" t="s">
        <v>27</v>
      </c>
      <c r="B1246" s="1" t="s">
        <v>62</v>
      </c>
      <c r="C1246" s="1" t="s">
        <v>29</v>
      </c>
      <c r="D1246" s="1" t="s">
        <v>63</v>
      </c>
      <c r="E1246" s="1" t="s">
        <v>120</v>
      </c>
      <c r="F1246" s="1" t="s">
        <v>21</v>
      </c>
      <c r="G1246" s="1" t="s">
        <v>128</v>
      </c>
      <c r="H1246" s="1" t="s">
        <v>132</v>
      </c>
      <c r="I1246" s="1" t="s">
        <v>107</v>
      </c>
      <c r="J1246" s="1" t="s">
        <v>108</v>
      </c>
      <c r="K1246" s="1" t="s">
        <v>130</v>
      </c>
      <c r="L1246" s="1">
        <v>3072622</v>
      </c>
      <c r="M1246" s="1" t="s">
        <v>310</v>
      </c>
      <c r="N1246" s="5">
        <f>DATE(2024,2,5)</f>
        <v>45327</v>
      </c>
      <c r="O1246" s="5">
        <f>DATE(2026,12,18)</f>
        <v>46374</v>
      </c>
      <c r="P1246" s="5">
        <f t="shared" si="449"/>
        <v>47469</v>
      </c>
      <c r="Q1246" s="1">
        <v>3818</v>
      </c>
      <c r="R1246" s="1">
        <v>1200</v>
      </c>
      <c r="S1246" s="1">
        <f t="shared" si="450"/>
        <v>3200</v>
      </c>
      <c r="T1246" s="1">
        <v>2.5</v>
      </c>
      <c r="U1246" s="1" t="str">
        <f t="shared" si="451"/>
        <v>SIM</v>
      </c>
      <c r="V1246" s="1">
        <f t="shared" si="452"/>
        <v>1048</v>
      </c>
      <c r="W1246" s="4">
        <f t="shared" si="453"/>
        <v>3.053435114503817</v>
      </c>
      <c r="X1246" s="4">
        <f t="shared" si="454"/>
        <v>1114.5038167938933</v>
      </c>
      <c r="Y1246" s="4">
        <f t="shared" si="455"/>
        <v>1.3931297709923667</v>
      </c>
      <c r="AB1246" s="5">
        <f t="shared" si="456"/>
        <v>45292</v>
      </c>
      <c r="AC1246" s="5">
        <f t="shared" si="457"/>
        <v>45657</v>
      </c>
      <c r="AD1246" s="1">
        <v>76</v>
      </c>
      <c r="AE1246" s="1">
        <f t="shared" si="458"/>
        <v>0</v>
      </c>
      <c r="AF1246" s="1">
        <f t="shared" si="459"/>
        <v>331</v>
      </c>
      <c r="AG1246" s="1">
        <f t="shared" si="460"/>
        <v>0</v>
      </c>
      <c r="AH1246" s="1">
        <f t="shared" si="461"/>
        <v>0</v>
      </c>
      <c r="AI1246" s="1">
        <f t="shared" si="462"/>
        <v>0</v>
      </c>
      <c r="AJ1246" s="3">
        <f t="shared" si="463"/>
        <v>0.90437158469945356</v>
      </c>
      <c r="AK1246" s="3">
        <f t="shared" si="464"/>
        <v>1.2599069786843535</v>
      </c>
      <c r="AL1246" s="3">
        <f t="shared" si="465"/>
        <v>95.752930380010866</v>
      </c>
      <c r="AM1246" s="3">
        <f t="shared" si="466"/>
        <v>239.38232595002717</v>
      </c>
      <c r="AN1246" s="3">
        <f t="shared" si="467"/>
        <v>119.69116297501358</v>
      </c>
      <c r="AO1246" s="3">
        <f t="shared" si="468"/>
        <v>359.07348892504075</v>
      </c>
      <c r="AP1246" s="1" t="str">
        <f>INDEX({"EAD";"EAD";"EAD";"EAD MOOC";"EAD";"EAD";"EAD FP";"EAD";"PRESENCIAL";"PRESENCIAL";"PRESENCIAL";"PRESENCIAL"}, MATCH(CONCATENATE(E1246, ".", F1246),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47" spans="1:42" x14ac:dyDescent="0.25">
      <c r="A1247" s="1" t="s">
        <v>27</v>
      </c>
      <c r="B1247" s="1" t="s">
        <v>62</v>
      </c>
      <c r="C1247" s="1" t="s">
        <v>29</v>
      </c>
      <c r="D1247" s="1" t="s">
        <v>63</v>
      </c>
      <c r="E1247" s="1" t="s">
        <v>120</v>
      </c>
      <c r="F1247" s="1" t="s">
        <v>21</v>
      </c>
      <c r="G1247" s="1" t="s">
        <v>121</v>
      </c>
      <c r="H1247" s="1" t="s">
        <v>1360</v>
      </c>
      <c r="I1247" s="1" t="s">
        <v>107</v>
      </c>
      <c r="J1247" s="1" t="s">
        <v>108</v>
      </c>
      <c r="K1247" s="1" t="s">
        <v>109</v>
      </c>
      <c r="L1247" s="1">
        <v>3072625</v>
      </c>
      <c r="M1247" s="1" t="s">
        <v>1405</v>
      </c>
      <c r="N1247" s="5">
        <f>DATE(2024,2,5)</f>
        <v>45327</v>
      </c>
      <c r="O1247" s="5">
        <f>DATE(2028,12,15)</f>
        <v>47102</v>
      </c>
      <c r="P1247" s="5">
        <f t="shared" si="449"/>
        <v>48197</v>
      </c>
      <c r="Q1247" s="1">
        <v>3643</v>
      </c>
      <c r="R1247" s="1">
        <v>3600</v>
      </c>
      <c r="S1247" s="1">
        <f t="shared" si="450"/>
        <v>3600</v>
      </c>
      <c r="T1247" s="1">
        <v>2.5</v>
      </c>
      <c r="U1247" s="1" t="str">
        <f t="shared" si="451"/>
        <v>SIM</v>
      </c>
      <c r="V1247" s="1">
        <f t="shared" si="452"/>
        <v>1776</v>
      </c>
      <c r="W1247" s="4">
        <f t="shared" si="453"/>
        <v>2.0270270270270272</v>
      </c>
      <c r="X1247" s="4">
        <f t="shared" si="454"/>
        <v>739.8648648648649</v>
      </c>
      <c r="Y1247" s="4">
        <f t="shared" si="455"/>
        <v>0.92483108108108114</v>
      </c>
      <c r="AB1247" s="5">
        <f t="shared" si="456"/>
        <v>45292</v>
      </c>
      <c r="AC1247" s="5">
        <f t="shared" si="457"/>
        <v>45657</v>
      </c>
      <c r="AD1247" s="1">
        <v>35</v>
      </c>
      <c r="AE1247" s="1">
        <f t="shared" si="458"/>
        <v>0</v>
      </c>
      <c r="AF1247" s="1">
        <f t="shared" si="459"/>
        <v>331</v>
      </c>
      <c r="AG1247" s="1">
        <f t="shared" si="460"/>
        <v>0</v>
      </c>
      <c r="AH1247" s="1">
        <f t="shared" si="461"/>
        <v>0</v>
      </c>
      <c r="AI1247" s="1">
        <f t="shared" si="462"/>
        <v>0</v>
      </c>
      <c r="AJ1247" s="3">
        <f t="shared" si="463"/>
        <v>0.90437158469945356</v>
      </c>
      <c r="AK1247" s="3">
        <f t="shared" si="464"/>
        <v>0.83639095037660616</v>
      </c>
      <c r="AL1247" s="3">
        <f t="shared" si="465"/>
        <v>29.273683263181216</v>
      </c>
      <c r="AM1247" s="3">
        <f t="shared" si="466"/>
        <v>73.184208157953037</v>
      </c>
      <c r="AN1247" s="3">
        <f t="shared" si="467"/>
        <v>36.592104078976519</v>
      </c>
      <c r="AO1247" s="3">
        <f t="shared" si="468"/>
        <v>109.77631223692956</v>
      </c>
      <c r="AP1247" s="1" t="str">
        <f>INDEX({"EAD";"EAD";"EAD";"EAD MOOC";"EAD";"EAD";"EAD FP";"EAD";"PRESENCIAL";"PRESENCIAL";"PRESENCIAL";"PRESENCIAL"}, MATCH(CONCATENATE(E1247, ".", F1247),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48" spans="1:42" x14ac:dyDescent="0.25">
      <c r="A1248" s="1" t="s">
        <v>27</v>
      </c>
      <c r="B1248" s="1" t="s">
        <v>62</v>
      </c>
      <c r="C1248" s="1" t="s">
        <v>29</v>
      </c>
      <c r="D1248" s="1" t="s">
        <v>63</v>
      </c>
      <c r="E1248" s="1" t="s">
        <v>120</v>
      </c>
      <c r="F1248" s="1" t="s">
        <v>21</v>
      </c>
      <c r="G1248" s="1" t="s">
        <v>140</v>
      </c>
      <c r="H1248" s="1" t="s">
        <v>865</v>
      </c>
      <c r="I1248" s="1" t="s">
        <v>224</v>
      </c>
      <c r="J1248" s="1" t="s">
        <v>125</v>
      </c>
      <c r="K1248" s="1" t="s">
        <v>109</v>
      </c>
      <c r="L1248" s="1">
        <v>3072634</v>
      </c>
      <c r="M1248" s="1" t="s">
        <v>1406</v>
      </c>
      <c r="N1248" s="5">
        <f>DATE(2024,2,5)</f>
        <v>45327</v>
      </c>
      <c r="O1248" s="5">
        <f>DATE(2026,12,18)</f>
        <v>46374</v>
      </c>
      <c r="P1248" s="5">
        <f t="shared" si="449"/>
        <v>47469</v>
      </c>
      <c r="Q1248" s="1">
        <v>1632</v>
      </c>
      <c r="R1248" s="1">
        <v>1600</v>
      </c>
      <c r="S1248" s="1">
        <f t="shared" si="450"/>
        <v>1600</v>
      </c>
      <c r="T1248" s="1">
        <v>1</v>
      </c>
      <c r="U1248" s="1" t="str">
        <f t="shared" si="451"/>
        <v>SIM</v>
      </c>
      <c r="V1248" s="1">
        <f t="shared" si="452"/>
        <v>1048</v>
      </c>
      <c r="W1248" s="4">
        <f t="shared" si="453"/>
        <v>1.5267175572519085</v>
      </c>
      <c r="X1248" s="4">
        <f t="shared" si="454"/>
        <v>557.25190839694665</v>
      </c>
      <c r="Y1248" s="4">
        <f t="shared" si="455"/>
        <v>0.69656488549618334</v>
      </c>
      <c r="AB1248" s="5">
        <f t="shared" si="456"/>
        <v>45292</v>
      </c>
      <c r="AC1248" s="5">
        <f t="shared" si="457"/>
        <v>45657</v>
      </c>
      <c r="AD1248" s="1">
        <v>27</v>
      </c>
      <c r="AE1248" s="1">
        <f t="shared" si="458"/>
        <v>0</v>
      </c>
      <c r="AF1248" s="1">
        <f t="shared" si="459"/>
        <v>331</v>
      </c>
      <c r="AG1248" s="1">
        <f t="shared" si="460"/>
        <v>0</v>
      </c>
      <c r="AH1248" s="1">
        <f t="shared" si="461"/>
        <v>0</v>
      </c>
      <c r="AI1248" s="1">
        <f t="shared" si="462"/>
        <v>0</v>
      </c>
      <c r="AJ1248" s="3">
        <f t="shared" si="463"/>
        <v>0.90437158469945356</v>
      </c>
      <c r="AK1248" s="3">
        <f t="shared" si="464"/>
        <v>0.62995348934217676</v>
      </c>
      <c r="AL1248" s="3">
        <f t="shared" si="465"/>
        <v>17.008744212238774</v>
      </c>
      <c r="AM1248" s="3">
        <f t="shared" si="466"/>
        <v>17.008744212238774</v>
      </c>
      <c r="AN1248" s="3">
        <f t="shared" si="467"/>
        <v>0</v>
      </c>
      <c r="AO1248" s="3">
        <f t="shared" si="468"/>
        <v>17.008744212238774</v>
      </c>
      <c r="AP1248" s="1" t="str">
        <f>INDEX({"EAD";"EAD";"EAD";"EAD MOOC";"EAD";"EAD";"EAD FP";"EAD";"PRESENCIAL";"PRESENCIAL";"PRESENCIAL";"PRESENCIAL"}, MATCH(CONCATENATE(E1248, ".", F1248),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49" spans="1:42" x14ac:dyDescent="0.25">
      <c r="A1249" s="1" t="s">
        <v>27</v>
      </c>
      <c r="B1249" s="1" t="s">
        <v>62</v>
      </c>
      <c r="C1249" s="1" t="s">
        <v>29</v>
      </c>
      <c r="D1249" s="1" t="s">
        <v>63</v>
      </c>
      <c r="E1249" s="1" t="s">
        <v>120</v>
      </c>
      <c r="F1249" s="1" t="s">
        <v>21</v>
      </c>
      <c r="G1249" s="1" t="s">
        <v>140</v>
      </c>
      <c r="H1249" s="1" t="s">
        <v>1362</v>
      </c>
      <c r="I1249" s="1" t="s">
        <v>107</v>
      </c>
      <c r="J1249" s="1" t="s">
        <v>108</v>
      </c>
      <c r="K1249" s="1" t="s">
        <v>109</v>
      </c>
      <c r="L1249" s="1">
        <v>3072635</v>
      </c>
      <c r="M1249" s="1" t="s">
        <v>1407</v>
      </c>
      <c r="N1249" s="5">
        <f>DATE(2024,2,5)</f>
        <v>45327</v>
      </c>
      <c r="O1249" s="5">
        <f>DATE(2026,12,18)</f>
        <v>46374</v>
      </c>
      <c r="P1249" s="5">
        <f t="shared" si="449"/>
        <v>47469</v>
      </c>
      <c r="Q1249" s="1">
        <v>2400</v>
      </c>
      <c r="R1249" s="1">
        <v>2400</v>
      </c>
      <c r="S1249" s="1">
        <f t="shared" si="450"/>
        <v>2400</v>
      </c>
      <c r="T1249" s="1">
        <v>2.5</v>
      </c>
      <c r="U1249" s="1" t="str">
        <f t="shared" si="451"/>
        <v>SIM</v>
      </c>
      <c r="V1249" s="1">
        <f t="shared" si="452"/>
        <v>1048</v>
      </c>
      <c r="W1249" s="4">
        <f t="shared" si="453"/>
        <v>2.2900763358778624</v>
      </c>
      <c r="X1249" s="4">
        <f t="shared" si="454"/>
        <v>835.87786259541974</v>
      </c>
      <c r="Y1249" s="4">
        <f t="shared" si="455"/>
        <v>1.0448473282442747</v>
      </c>
      <c r="AB1249" s="5">
        <f t="shared" si="456"/>
        <v>45292</v>
      </c>
      <c r="AC1249" s="5">
        <f t="shared" si="457"/>
        <v>45657</v>
      </c>
      <c r="AD1249" s="1">
        <v>36</v>
      </c>
      <c r="AE1249" s="1">
        <f t="shared" si="458"/>
        <v>0</v>
      </c>
      <c r="AF1249" s="1">
        <f t="shared" si="459"/>
        <v>331</v>
      </c>
      <c r="AG1249" s="1">
        <f t="shared" si="460"/>
        <v>0</v>
      </c>
      <c r="AH1249" s="1">
        <f t="shared" si="461"/>
        <v>0</v>
      </c>
      <c r="AI1249" s="1">
        <f t="shared" si="462"/>
        <v>0</v>
      </c>
      <c r="AJ1249" s="3">
        <f t="shared" si="463"/>
        <v>0.90437158469945356</v>
      </c>
      <c r="AK1249" s="3">
        <f t="shared" si="464"/>
        <v>0.94493023401326481</v>
      </c>
      <c r="AL1249" s="3">
        <f t="shared" si="465"/>
        <v>34.017488424477534</v>
      </c>
      <c r="AM1249" s="3">
        <f t="shared" si="466"/>
        <v>85.043721061193835</v>
      </c>
      <c r="AN1249" s="3">
        <f t="shared" si="467"/>
        <v>42.521860530596918</v>
      </c>
      <c r="AO1249" s="3">
        <f t="shared" si="468"/>
        <v>127.56558159179076</v>
      </c>
      <c r="AP1249" s="1" t="str">
        <f>INDEX({"EAD";"EAD";"EAD";"EAD MOOC";"EAD";"EAD";"EAD FP";"EAD";"PRESENCIAL";"PRESENCIAL";"PRESENCIAL";"PRESENCIAL"}, MATCH(CONCATENATE(E1249, ".", F1249),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50" spans="1:42" x14ac:dyDescent="0.25">
      <c r="A1250" s="1" t="s">
        <v>27</v>
      </c>
      <c r="B1250" s="1" t="s">
        <v>62</v>
      </c>
      <c r="C1250" s="1" t="s">
        <v>29</v>
      </c>
      <c r="D1250" s="1" t="s">
        <v>63</v>
      </c>
      <c r="E1250" s="1" t="s">
        <v>170</v>
      </c>
      <c r="F1250" s="1" t="s">
        <v>21</v>
      </c>
      <c r="G1250" s="1" t="s">
        <v>161</v>
      </c>
      <c r="H1250" s="1" t="s">
        <v>1141</v>
      </c>
      <c r="I1250" s="1" t="s">
        <v>1142</v>
      </c>
      <c r="J1250" s="1" t="s">
        <v>125</v>
      </c>
      <c r="K1250" s="1" t="s">
        <v>109</v>
      </c>
      <c r="L1250" s="1">
        <v>3148548</v>
      </c>
      <c r="M1250" s="1" t="s">
        <v>1408</v>
      </c>
      <c r="N1250" s="5">
        <f>DATE(2024,8,15)</f>
        <v>45519</v>
      </c>
      <c r="O1250" s="5">
        <f>DATE(2024,10,1)</f>
        <v>45566</v>
      </c>
      <c r="P1250" s="5">
        <f t="shared" si="449"/>
        <v>45566</v>
      </c>
      <c r="Q1250" s="1">
        <v>80</v>
      </c>
      <c r="R1250" s="1">
        <v>160</v>
      </c>
      <c r="S1250" s="1">
        <f t="shared" si="450"/>
        <v>80</v>
      </c>
      <c r="T1250" s="1">
        <v>1</v>
      </c>
      <c r="U1250" s="1" t="str">
        <f t="shared" si="451"/>
        <v>SIM</v>
      </c>
      <c r="V1250" s="1">
        <f t="shared" si="452"/>
        <v>48</v>
      </c>
      <c r="W1250" s="4">
        <f t="shared" si="453"/>
        <v>1.6666666666666667</v>
      </c>
      <c r="X1250" s="4">
        <f t="shared" si="454"/>
        <v>80</v>
      </c>
      <c r="Y1250" s="4">
        <f t="shared" si="455"/>
        <v>0.1</v>
      </c>
      <c r="AB1250" s="5">
        <f t="shared" si="456"/>
        <v>45292</v>
      </c>
      <c r="AC1250" s="5">
        <f t="shared" si="457"/>
        <v>45657</v>
      </c>
      <c r="AD1250" s="1">
        <v>25</v>
      </c>
      <c r="AE1250" s="1">
        <f t="shared" si="458"/>
        <v>0</v>
      </c>
      <c r="AF1250" s="1">
        <f t="shared" si="459"/>
        <v>0</v>
      </c>
      <c r="AG1250" s="1">
        <f t="shared" si="460"/>
        <v>0</v>
      </c>
      <c r="AH1250" s="1">
        <f t="shared" si="461"/>
        <v>48</v>
      </c>
      <c r="AI1250" s="1">
        <f t="shared" si="462"/>
        <v>0</v>
      </c>
      <c r="AJ1250" s="3">
        <f t="shared" si="463"/>
        <v>1</v>
      </c>
      <c r="AK1250" s="3">
        <f t="shared" si="464"/>
        <v>0.1</v>
      </c>
      <c r="AL1250" s="3">
        <f t="shared" si="465"/>
        <v>2.5</v>
      </c>
      <c r="AM1250" s="3">
        <f t="shared" si="466"/>
        <v>2.5</v>
      </c>
      <c r="AN1250" s="3">
        <f t="shared" si="467"/>
        <v>0</v>
      </c>
      <c r="AO1250" s="3">
        <f t="shared" si="468"/>
        <v>2.5</v>
      </c>
      <c r="AP1250" s="1" t="str">
        <f>INDEX({"EAD";"EAD";"EAD";"EAD MOOC";"EAD";"EAD";"EAD FP";"EAD";"PRESENCIAL";"PRESENCIAL";"PRESENCIAL";"PRESENCIAL"}, MATCH(CONCATENATE(E1250, ".", F1250),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251" spans="1:42" x14ac:dyDescent="0.25">
      <c r="A1251" s="1" t="s">
        <v>27</v>
      </c>
      <c r="B1251" s="1" t="s">
        <v>64</v>
      </c>
      <c r="C1251" s="1" t="s">
        <v>29</v>
      </c>
      <c r="D1251" s="1" t="s">
        <v>65</v>
      </c>
      <c r="E1251" s="1" t="s">
        <v>120</v>
      </c>
      <c r="F1251" s="1" t="s">
        <v>21</v>
      </c>
      <c r="G1251" s="1" t="s">
        <v>140</v>
      </c>
      <c r="H1251" s="1" t="s">
        <v>141</v>
      </c>
      <c r="I1251" s="1" t="s">
        <v>124</v>
      </c>
      <c r="J1251" s="1" t="s">
        <v>125</v>
      </c>
      <c r="K1251" s="1" t="s">
        <v>109</v>
      </c>
      <c r="L1251" s="1">
        <v>2575596</v>
      </c>
      <c r="M1251" s="1" t="s">
        <v>1409</v>
      </c>
      <c r="N1251" s="5">
        <f>DATE(2019,2,4)</f>
        <v>43500</v>
      </c>
      <c r="O1251" s="5">
        <f>DATE(2021,7,9)</f>
        <v>44386</v>
      </c>
      <c r="P1251" s="5">
        <f t="shared" si="449"/>
        <v>45481</v>
      </c>
      <c r="Q1251" s="1">
        <v>1800</v>
      </c>
      <c r="R1251" s="1">
        <v>1600</v>
      </c>
      <c r="S1251" s="1">
        <f t="shared" si="450"/>
        <v>1600</v>
      </c>
      <c r="T1251" s="1">
        <v>1</v>
      </c>
      <c r="U1251" s="1" t="str">
        <f t="shared" si="451"/>
        <v>SIM</v>
      </c>
      <c r="V1251" s="1">
        <f t="shared" si="452"/>
        <v>887</v>
      </c>
      <c r="W1251" s="4">
        <f t="shared" si="453"/>
        <v>1.8038331454340473</v>
      </c>
      <c r="X1251" s="4">
        <f t="shared" si="454"/>
        <v>658.39909808342725</v>
      </c>
      <c r="Y1251" s="4">
        <f t="shared" si="455"/>
        <v>0.82299887260428406</v>
      </c>
      <c r="AB1251" s="5">
        <f t="shared" si="456"/>
        <v>45292</v>
      </c>
      <c r="AC1251" s="5">
        <f t="shared" si="457"/>
        <v>45657</v>
      </c>
      <c r="AD1251" s="1">
        <v>6</v>
      </c>
      <c r="AE1251" s="1">
        <f t="shared" si="458"/>
        <v>0</v>
      </c>
      <c r="AF1251" s="1">
        <f t="shared" si="459"/>
        <v>0</v>
      </c>
      <c r="AG1251" s="1">
        <f t="shared" si="460"/>
        <v>0</v>
      </c>
      <c r="AH1251" s="1">
        <f t="shared" si="461"/>
        <v>0</v>
      </c>
      <c r="AI1251" s="1">
        <f t="shared" si="462"/>
        <v>183</v>
      </c>
      <c r="AJ1251" s="3">
        <f t="shared" si="463"/>
        <v>0.5</v>
      </c>
      <c r="AK1251" s="3">
        <f t="shared" si="464"/>
        <v>0.41149943630214203</v>
      </c>
      <c r="AL1251" s="3">
        <f t="shared" si="465"/>
        <v>1.2344983089064261</v>
      </c>
      <c r="AM1251" s="3">
        <f t="shared" si="466"/>
        <v>1.2344983089064261</v>
      </c>
      <c r="AN1251" s="3">
        <f t="shared" si="467"/>
        <v>0</v>
      </c>
      <c r="AO1251" s="3">
        <f t="shared" si="468"/>
        <v>1.2344983089064261</v>
      </c>
      <c r="AP1251" s="1" t="str">
        <f>INDEX({"EAD";"EAD";"EAD";"EAD MOOC";"EAD";"EAD";"EAD FP";"EAD";"PRESENCIAL";"PRESENCIAL";"PRESENCIAL";"PRESENCIAL"}, MATCH(CONCATENATE(E1251, ".", F1251),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52" spans="1:42" x14ac:dyDescent="0.25">
      <c r="A1252" s="1" t="s">
        <v>27</v>
      </c>
      <c r="B1252" s="1" t="s">
        <v>64</v>
      </c>
      <c r="C1252" s="1" t="s">
        <v>29</v>
      </c>
      <c r="D1252" s="1" t="s">
        <v>65</v>
      </c>
      <c r="E1252" s="1" t="s">
        <v>120</v>
      </c>
      <c r="F1252" s="1" t="s">
        <v>21</v>
      </c>
      <c r="G1252" s="1" t="s">
        <v>140</v>
      </c>
      <c r="H1252" s="1" t="s">
        <v>141</v>
      </c>
      <c r="I1252" s="1" t="s">
        <v>124</v>
      </c>
      <c r="J1252" s="1" t="s">
        <v>125</v>
      </c>
      <c r="K1252" s="1" t="s">
        <v>109</v>
      </c>
      <c r="L1252" s="1">
        <v>2658128</v>
      </c>
      <c r="M1252" s="1" t="s">
        <v>1410</v>
      </c>
      <c r="N1252" s="5">
        <f>DATE(2019,2,4)</f>
        <v>43500</v>
      </c>
      <c r="O1252" s="5">
        <f>DATE(2021,7,16)</f>
        <v>44393</v>
      </c>
      <c r="P1252" s="5">
        <f t="shared" si="449"/>
        <v>45488</v>
      </c>
      <c r="Q1252" s="1">
        <v>1800</v>
      </c>
      <c r="R1252" s="1">
        <v>1600</v>
      </c>
      <c r="S1252" s="1">
        <f t="shared" si="450"/>
        <v>1600</v>
      </c>
      <c r="T1252" s="1">
        <v>1</v>
      </c>
      <c r="U1252" s="1" t="str">
        <f t="shared" si="451"/>
        <v>SIM</v>
      </c>
      <c r="V1252" s="1">
        <f t="shared" si="452"/>
        <v>894</v>
      </c>
      <c r="W1252" s="4">
        <f t="shared" si="453"/>
        <v>1.7897091722595078</v>
      </c>
      <c r="X1252" s="4">
        <f t="shared" si="454"/>
        <v>653.24384787472036</v>
      </c>
      <c r="Y1252" s="4">
        <f t="shared" si="455"/>
        <v>0.81655480984340045</v>
      </c>
      <c r="AB1252" s="5">
        <f t="shared" si="456"/>
        <v>45292</v>
      </c>
      <c r="AC1252" s="5">
        <f t="shared" si="457"/>
        <v>45657</v>
      </c>
      <c r="AD1252" s="1">
        <v>3</v>
      </c>
      <c r="AE1252" s="1">
        <f t="shared" si="458"/>
        <v>0</v>
      </c>
      <c r="AF1252" s="1">
        <f t="shared" si="459"/>
        <v>0</v>
      </c>
      <c r="AG1252" s="1">
        <f t="shared" si="460"/>
        <v>0</v>
      </c>
      <c r="AH1252" s="1">
        <f t="shared" si="461"/>
        <v>0</v>
      </c>
      <c r="AI1252" s="1">
        <f t="shared" si="462"/>
        <v>183</v>
      </c>
      <c r="AJ1252" s="3">
        <f t="shared" si="463"/>
        <v>0.5</v>
      </c>
      <c r="AK1252" s="3">
        <f t="shared" si="464"/>
        <v>0.40827740492170023</v>
      </c>
      <c r="AL1252" s="3">
        <f t="shared" si="465"/>
        <v>0.61241610738255037</v>
      </c>
      <c r="AM1252" s="3">
        <f t="shared" si="466"/>
        <v>0.61241610738255037</v>
      </c>
      <c r="AN1252" s="3">
        <f t="shared" si="467"/>
        <v>0</v>
      </c>
      <c r="AO1252" s="3">
        <f t="shared" si="468"/>
        <v>0.61241610738255037</v>
      </c>
      <c r="AP1252" s="1" t="str">
        <f>INDEX({"EAD";"EAD";"EAD";"EAD MOOC";"EAD";"EAD";"EAD FP";"EAD";"PRESENCIAL";"PRESENCIAL";"PRESENCIAL";"PRESENCIAL"}, MATCH(CONCATENATE(E1252, ".", F1252),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53" spans="1:42" x14ac:dyDescent="0.25">
      <c r="A1253" s="1" t="s">
        <v>27</v>
      </c>
      <c r="B1253" s="1" t="s">
        <v>64</v>
      </c>
      <c r="C1253" s="1" t="s">
        <v>29</v>
      </c>
      <c r="D1253" s="1" t="s">
        <v>65</v>
      </c>
      <c r="E1253" s="1" t="s">
        <v>120</v>
      </c>
      <c r="F1253" s="1" t="s">
        <v>21</v>
      </c>
      <c r="G1253" s="1" t="s">
        <v>140</v>
      </c>
      <c r="H1253" s="1" t="s">
        <v>141</v>
      </c>
      <c r="I1253" s="1" t="s">
        <v>124</v>
      </c>
      <c r="J1253" s="1" t="s">
        <v>125</v>
      </c>
      <c r="K1253" s="1" t="s">
        <v>109</v>
      </c>
      <c r="L1253" s="1">
        <v>2683966</v>
      </c>
      <c r="M1253" s="1" t="s">
        <v>1411</v>
      </c>
      <c r="N1253" s="5">
        <f>DATE(2020,2,3)</f>
        <v>43864</v>
      </c>
      <c r="O1253" s="5">
        <f>DATE(2022,7,15)</f>
        <v>44757</v>
      </c>
      <c r="P1253" s="5">
        <f t="shared" si="449"/>
        <v>45852</v>
      </c>
      <c r="Q1253" s="1">
        <v>1800</v>
      </c>
      <c r="R1253" s="1">
        <v>1600</v>
      </c>
      <c r="S1253" s="1">
        <f t="shared" si="450"/>
        <v>1600</v>
      </c>
      <c r="T1253" s="1">
        <v>1</v>
      </c>
      <c r="U1253" s="1" t="str">
        <f t="shared" si="451"/>
        <v>SIM</v>
      </c>
      <c r="V1253" s="1">
        <f t="shared" si="452"/>
        <v>894</v>
      </c>
      <c r="W1253" s="4">
        <f t="shared" si="453"/>
        <v>1.7897091722595078</v>
      </c>
      <c r="X1253" s="4">
        <f t="shared" si="454"/>
        <v>653.24384787472036</v>
      </c>
      <c r="Y1253" s="4">
        <f t="shared" si="455"/>
        <v>0.81655480984340045</v>
      </c>
      <c r="AB1253" s="5">
        <f t="shared" si="456"/>
        <v>45292</v>
      </c>
      <c r="AC1253" s="5">
        <f t="shared" si="457"/>
        <v>45657</v>
      </c>
      <c r="AD1253" s="1">
        <v>3</v>
      </c>
      <c r="AE1253" s="1">
        <f t="shared" si="458"/>
        <v>0</v>
      </c>
      <c r="AF1253" s="1">
        <f t="shared" si="459"/>
        <v>0</v>
      </c>
      <c r="AG1253" s="1">
        <f t="shared" si="460"/>
        <v>0</v>
      </c>
      <c r="AH1253" s="1">
        <f t="shared" si="461"/>
        <v>0</v>
      </c>
      <c r="AI1253" s="1">
        <f t="shared" si="462"/>
        <v>183</v>
      </c>
      <c r="AJ1253" s="3">
        <f t="shared" si="463"/>
        <v>0.5</v>
      </c>
      <c r="AK1253" s="3">
        <f t="shared" si="464"/>
        <v>0.40827740492170023</v>
      </c>
      <c r="AL1253" s="3">
        <f t="shared" si="465"/>
        <v>0.61241610738255037</v>
      </c>
      <c r="AM1253" s="3">
        <f t="shared" si="466"/>
        <v>0.61241610738255037</v>
      </c>
      <c r="AN1253" s="3">
        <f t="shared" si="467"/>
        <v>0</v>
      </c>
      <c r="AO1253" s="3">
        <f t="shared" si="468"/>
        <v>0.61241610738255037</v>
      </c>
      <c r="AP1253" s="1" t="str">
        <f>INDEX({"EAD";"EAD";"EAD";"EAD MOOC";"EAD";"EAD";"EAD FP";"EAD";"PRESENCIAL";"PRESENCIAL";"PRESENCIAL";"PRESENCIAL"}, MATCH(CONCATENATE(E1253, ".", F1253),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54" spans="1:42" x14ac:dyDescent="0.25">
      <c r="A1254" s="1" t="s">
        <v>27</v>
      </c>
      <c r="B1254" s="1" t="s">
        <v>64</v>
      </c>
      <c r="C1254" s="1" t="s">
        <v>29</v>
      </c>
      <c r="D1254" s="1" t="s">
        <v>65</v>
      </c>
      <c r="E1254" s="1" t="s">
        <v>120</v>
      </c>
      <c r="F1254" s="1" t="s">
        <v>21</v>
      </c>
      <c r="G1254" s="1" t="s">
        <v>140</v>
      </c>
      <c r="H1254" s="1" t="s">
        <v>141</v>
      </c>
      <c r="I1254" s="1" t="s">
        <v>124</v>
      </c>
      <c r="J1254" s="1" t="s">
        <v>125</v>
      </c>
      <c r="K1254" s="1" t="s">
        <v>109</v>
      </c>
      <c r="L1254" s="1">
        <v>2684543</v>
      </c>
      <c r="M1254" s="1" t="s">
        <v>1412</v>
      </c>
      <c r="N1254" s="5">
        <f>DATE(2020,2,10)</f>
        <v>43871</v>
      </c>
      <c r="O1254" s="5">
        <f>DATE(2022,7,15)</f>
        <v>44757</v>
      </c>
      <c r="P1254" s="5">
        <f t="shared" si="449"/>
        <v>45852</v>
      </c>
      <c r="Q1254" s="1">
        <v>1800</v>
      </c>
      <c r="R1254" s="1">
        <v>1600</v>
      </c>
      <c r="S1254" s="1">
        <f t="shared" si="450"/>
        <v>1600</v>
      </c>
      <c r="T1254" s="1">
        <v>1</v>
      </c>
      <c r="U1254" s="1" t="str">
        <f t="shared" si="451"/>
        <v>SIM</v>
      </c>
      <c r="V1254" s="1">
        <f t="shared" si="452"/>
        <v>887</v>
      </c>
      <c r="W1254" s="4">
        <f t="shared" si="453"/>
        <v>1.8038331454340473</v>
      </c>
      <c r="X1254" s="4">
        <f t="shared" si="454"/>
        <v>658.39909808342725</v>
      </c>
      <c r="Y1254" s="4">
        <f t="shared" si="455"/>
        <v>0.82299887260428406</v>
      </c>
      <c r="AB1254" s="5">
        <f t="shared" si="456"/>
        <v>45292</v>
      </c>
      <c r="AC1254" s="5">
        <f t="shared" si="457"/>
        <v>45657</v>
      </c>
      <c r="AD1254" s="1">
        <v>1</v>
      </c>
      <c r="AE1254" s="1">
        <f t="shared" si="458"/>
        <v>0</v>
      </c>
      <c r="AF1254" s="1">
        <f t="shared" si="459"/>
        <v>0</v>
      </c>
      <c r="AG1254" s="1">
        <f t="shared" si="460"/>
        <v>0</v>
      </c>
      <c r="AH1254" s="1">
        <f t="shared" si="461"/>
        <v>0</v>
      </c>
      <c r="AI1254" s="1">
        <f t="shared" si="462"/>
        <v>183</v>
      </c>
      <c r="AJ1254" s="3">
        <f t="shared" si="463"/>
        <v>0.5</v>
      </c>
      <c r="AK1254" s="3">
        <f t="shared" si="464"/>
        <v>0.41149943630214203</v>
      </c>
      <c r="AL1254" s="3">
        <f t="shared" si="465"/>
        <v>0.20574971815107101</v>
      </c>
      <c r="AM1254" s="3">
        <f t="shared" si="466"/>
        <v>0.20574971815107101</v>
      </c>
      <c r="AN1254" s="3">
        <f t="shared" si="467"/>
        <v>0</v>
      </c>
      <c r="AO1254" s="3">
        <f t="shared" si="468"/>
        <v>0.20574971815107101</v>
      </c>
      <c r="AP1254" s="1" t="str">
        <f>INDEX({"EAD";"EAD";"EAD";"EAD MOOC";"EAD";"EAD";"EAD FP";"EAD";"PRESENCIAL";"PRESENCIAL";"PRESENCIAL";"PRESENCIAL"}, MATCH(CONCATENATE(E1254, ".", F1254),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55" spans="1:42" x14ac:dyDescent="0.25">
      <c r="A1255" s="1" t="s">
        <v>27</v>
      </c>
      <c r="B1255" s="1" t="s">
        <v>64</v>
      </c>
      <c r="C1255" s="1" t="s">
        <v>29</v>
      </c>
      <c r="D1255" s="1" t="s">
        <v>65</v>
      </c>
      <c r="E1255" s="1" t="s">
        <v>120</v>
      </c>
      <c r="F1255" s="1" t="s">
        <v>21</v>
      </c>
      <c r="G1255" s="1" t="s">
        <v>128</v>
      </c>
      <c r="H1255" s="1" t="s">
        <v>343</v>
      </c>
      <c r="I1255" s="1" t="s">
        <v>209</v>
      </c>
      <c r="J1255" s="1" t="s">
        <v>125</v>
      </c>
      <c r="K1255" s="1" t="s">
        <v>130</v>
      </c>
      <c r="L1255" s="1">
        <v>2756810</v>
      </c>
      <c r="M1255" s="1" t="s">
        <v>1413</v>
      </c>
      <c r="N1255" s="5">
        <f>DATE(2021,3,15)</f>
        <v>44270</v>
      </c>
      <c r="O1255" s="5">
        <f>DATE(2023,12,22)</f>
        <v>45282</v>
      </c>
      <c r="P1255" s="5">
        <f t="shared" si="449"/>
        <v>46377</v>
      </c>
      <c r="Q1255" s="1">
        <v>3536</v>
      </c>
      <c r="R1255" s="1">
        <v>1000</v>
      </c>
      <c r="S1255" s="1">
        <f t="shared" si="450"/>
        <v>3100</v>
      </c>
      <c r="T1255" s="1">
        <v>1.5</v>
      </c>
      <c r="U1255" s="1" t="str">
        <f t="shared" si="451"/>
        <v>SIM</v>
      </c>
      <c r="V1255" s="1">
        <f t="shared" si="452"/>
        <v>1013</v>
      </c>
      <c r="W1255" s="4">
        <f t="shared" si="453"/>
        <v>3.0602171767028628</v>
      </c>
      <c r="X1255" s="4">
        <f t="shared" si="454"/>
        <v>1116.9792694965449</v>
      </c>
      <c r="Y1255" s="4">
        <f t="shared" si="455"/>
        <v>1.3962240868706812</v>
      </c>
      <c r="AB1255" s="5">
        <f t="shared" si="456"/>
        <v>45292</v>
      </c>
      <c r="AC1255" s="5">
        <f t="shared" si="457"/>
        <v>45657</v>
      </c>
      <c r="AD1255" s="1">
        <v>1</v>
      </c>
      <c r="AE1255" s="1">
        <f t="shared" si="458"/>
        <v>0</v>
      </c>
      <c r="AF1255" s="1">
        <f t="shared" si="459"/>
        <v>0</v>
      </c>
      <c r="AG1255" s="1">
        <f t="shared" si="460"/>
        <v>0</v>
      </c>
      <c r="AH1255" s="1">
        <f t="shared" si="461"/>
        <v>0</v>
      </c>
      <c r="AI1255" s="1">
        <f t="shared" si="462"/>
        <v>183</v>
      </c>
      <c r="AJ1255" s="3">
        <f t="shared" si="463"/>
        <v>0.5</v>
      </c>
      <c r="AK1255" s="3">
        <f t="shared" si="464"/>
        <v>0.69811204343534061</v>
      </c>
      <c r="AL1255" s="3">
        <f t="shared" si="465"/>
        <v>0.34905602171767031</v>
      </c>
      <c r="AM1255" s="3">
        <f t="shared" si="466"/>
        <v>0.52358403257650543</v>
      </c>
      <c r="AN1255" s="3">
        <f t="shared" si="467"/>
        <v>0</v>
      </c>
      <c r="AO1255" s="3">
        <f t="shared" si="468"/>
        <v>0.52358403257650543</v>
      </c>
      <c r="AP1255" s="1" t="str">
        <f>INDEX({"EAD";"EAD";"EAD";"EAD MOOC";"EAD";"EAD";"EAD FP";"EAD";"PRESENCIAL";"PRESENCIAL";"PRESENCIAL";"PRESENCIAL"}, MATCH(CONCATENATE(E1255, ".", F1255),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56" spans="1:42" x14ac:dyDescent="0.25">
      <c r="A1256" s="1" t="s">
        <v>27</v>
      </c>
      <c r="B1256" s="1" t="s">
        <v>64</v>
      </c>
      <c r="C1256" s="1" t="s">
        <v>29</v>
      </c>
      <c r="D1256" s="1" t="s">
        <v>65</v>
      </c>
      <c r="E1256" s="1" t="s">
        <v>120</v>
      </c>
      <c r="F1256" s="1" t="s">
        <v>21</v>
      </c>
      <c r="G1256" s="1" t="s">
        <v>128</v>
      </c>
      <c r="H1256" s="1" t="s">
        <v>1414</v>
      </c>
      <c r="I1256" s="1" t="s">
        <v>124</v>
      </c>
      <c r="J1256" s="1" t="s">
        <v>125</v>
      </c>
      <c r="K1256" s="1" t="s">
        <v>130</v>
      </c>
      <c r="L1256" s="1">
        <v>2756811</v>
      </c>
      <c r="M1256" s="1" t="s">
        <v>1415</v>
      </c>
      <c r="N1256" s="5">
        <f>DATE(2021,3,15)</f>
        <v>44270</v>
      </c>
      <c r="O1256" s="5">
        <f>DATE(2023,12,22)</f>
        <v>45282</v>
      </c>
      <c r="P1256" s="5">
        <f t="shared" si="449"/>
        <v>46377</v>
      </c>
      <c r="Q1256" s="1">
        <v>3332</v>
      </c>
      <c r="R1256" s="1">
        <v>800</v>
      </c>
      <c r="S1256" s="1">
        <f t="shared" si="450"/>
        <v>3000</v>
      </c>
      <c r="T1256" s="1">
        <v>1.5</v>
      </c>
      <c r="U1256" s="1" t="str">
        <f t="shared" si="451"/>
        <v>SIM</v>
      </c>
      <c r="V1256" s="1">
        <f t="shared" si="452"/>
        <v>1013</v>
      </c>
      <c r="W1256" s="4">
        <f t="shared" si="453"/>
        <v>2.9615004935834155</v>
      </c>
      <c r="X1256" s="4">
        <f t="shared" si="454"/>
        <v>1080.9476801579467</v>
      </c>
      <c r="Y1256" s="4">
        <f t="shared" si="455"/>
        <v>1.3511846001974335</v>
      </c>
      <c r="AB1256" s="5">
        <f t="shared" si="456"/>
        <v>45292</v>
      </c>
      <c r="AC1256" s="5">
        <f t="shared" si="457"/>
        <v>45657</v>
      </c>
      <c r="AD1256" s="1">
        <v>1</v>
      </c>
      <c r="AE1256" s="1">
        <f t="shared" si="458"/>
        <v>0</v>
      </c>
      <c r="AF1256" s="1">
        <f t="shared" si="459"/>
        <v>0</v>
      </c>
      <c r="AG1256" s="1">
        <f t="shared" si="460"/>
        <v>0</v>
      </c>
      <c r="AH1256" s="1">
        <f t="shared" si="461"/>
        <v>0</v>
      </c>
      <c r="AI1256" s="1">
        <f t="shared" si="462"/>
        <v>183</v>
      </c>
      <c r="AJ1256" s="3">
        <f t="shared" si="463"/>
        <v>0.5</v>
      </c>
      <c r="AK1256" s="3">
        <f t="shared" si="464"/>
        <v>0.67559230009871674</v>
      </c>
      <c r="AL1256" s="3">
        <f t="shared" si="465"/>
        <v>0.33779615004935837</v>
      </c>
      <c r="AM1256" s="3">
        <f t="shared" si="466"/>
        <v>0.50669422507403761</v>
      </c>
      <c r="AN1256" s="3">
        <f t="shared" si="467"/>
        <v>0</v>
      </c>
      <c r="AO1256" s="3">
        <f t="shared" si="468"/>
        <v>0.50669422507403761</v>
      </c>
      <c r="AP1256" s="1" t="str">
        <f>INDEX({"EAD";"EAD";"EAD";"EAD MOOC";"EAD";"EAD";"EAD FP";"EAD";"PRESENCIAL";"PRESENCIAL";"PRESENCIAL";"PRESENCIAL"}, MATCH(CONCATENATE(E1256, ".", F1256),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57" spans="1:42" x14ac:dyDescent="0.25">
      <c r="A1257" s="1" t="s">
        <v>27</v>
      </c>
      <c r="B1257" s="1" t="s">
        <v>64</v>
      </c>
      <c r="C1257" s="1" t="s">
        <v>29</v>
      </c>
      <c r="D1257" s="1" t="s">
        <v>65</v>
      </c>
      <c r="E1257" s="1" t="s">
        <v>120</v>
      </c>
      <c r="F1257" s="1" t="s">
        <v>21</v>
      </c>
      <c r="G1257" s="1" t="s">
        <v>140</v>
      </c>
      <c r="H1257" s="1" t="s">
        <v>141</v>
      </c>
      <c r="I1257" s="1" t="s">
        <v>124</v>
      </c>
      <c r="J1257" s="1" t="s">
        <v>125</v>
      </c>
      <c r="K1257" s="1" t="s">
        <v>109</v>
      </c>
      <c r="L1257" s="1">
        <v>2756849</v>
      </c>
      <c r="M1257" s="1" t="s">
        <v>1416</v>
      </c>
      <c r="N1257" s="5">
        <f>DATE(2021,3,15)</f>
        <v>44270</v>
      </c>
      <c r="O1257" s="5">
        <f>DATE(2023,7,21)</f>
        <v>45128</v>
      </c>
      <c r="P1257" s="5">
        <f t="shared" si="449"/>
        <v>46223</v>
      </c>
      <c r="Q1257" s="1">
        <v>1800</v>
      </c>
      <c r="R1257" s="1">
        <v>1600</v>
      </c>
      <c r="S1257" s="1">
        <f t="shared" si="450"/>
        <v>1600</v>
      </c>
      <c r="T1257" s="1">
        <v>1</v>
      </c>
      <c r="U1257" s="1" t="str">
        <f t="shared" si="451"/>
        <v>SIM</v>
      </c>
      <c r="V1257" s="1">
        <f t="shared" si="452"/>
        <v>859</v>
      </c>
      <c r="W1257" s="4">
        <f t="shared" si="453"/>
        <v>1.8626309662398137</v>
      </c>
      <c r="X1257" s="4">
        <f t="shared" si="454"/>
        <v>679.86030267753199</v>
      </c>
      <c r="Y1257" s="4">
        <f t="shared" si="455"/>
        <v>0.84982537834691496</v>
      </c>
      <c r="AB1257" s="5">
        <f t="shared" si="456"/>
        <v>45292</v>
      </c>
      <c r="AC1257" s="5">
        <f t="shared" si="457"/>
        <v>45657</v>
      </c>
      <c r="AD1257" s="1">
        <v>9</v>
      </c>
      <c r="AE1257" s="1">
        <f t="shared" si="458"/>
        <v>0</v>
      </c>
      <c r="AF1257" s="1">
        <f t="shared" si="459"/>
        <v>0</v>
      </c>
      <c r="AG1257" s="1">
        <f t="shared" si="460"/>
        <v>0</v>
      </c>
      <c r="AH1257" s="1">
        <f t="shared" si="461"/>
        <v>0</v>
      </c>
      <c r="AI1257" s="1">
        <f t="shared" si="462"/>
        <v>183</v>
      </c>
      <c r="AJ1257" s="3">
        <f t="shared" si="463"/>
        <v>0.5</v>
      </c>
      <c r="AK1257" s="3">
        <f t="shared" si="464"/>
        <v>0.42491268917345748</v>
      </c>
      <c r="AL1257" s="3">
        <f t="shared" si="465"/>
        <v>1.9121071012805586</v>
      </c>
      <c r="AM1257" s="3">
        <f t="shared" si="466"/>
        <v>1.9121071012805586</v>
      </c>
      <c r="AN1257" s="3">
        <f t="shared" si="467"/>
        <v>0</v>
      </c>
      <c r="AO1257" s="3">
        <f t="shared" si="468"/>
        <v>1.9121071012805586</v>
      </c>
      <c r="AP1257" s="1" t="str">
        <f>INDEX({"EAD";"EAD";"EAD";"EAD MOOC";"EAD";"EAD";"EAD FP";"EAD";"PRESENCIAL";"PRESENCIAL";"PRESENCIAL";"PRESENCIAL"}, MATCH(CONCATENATE(E1257, ".", F1257),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58" spans="1:42" x14ac:dyDescent="0.25">
      <c r="A1258" s="1" t="s">
        <v>27</v>
      </c>
      <c r="B1258" s="1" t="s">
        <v>64</v>
      </c>
      <c r="C1258" s="1" t="s">
        <v>29</v>
      </c>
      <c r="D1258" s="1" t="s">
        <v>65</v>
      </c>
      <c r="E1258" s="1" t="s">
        <v>120</v>
      </c>
      <c r="F1258" s="1" t="s">
        <v>21</v>
      </c>
      <c r="G1258" s="1" t="s">
        <v>140</v>
      </c>
      <c r="H1258" s="1" t="s">
        <v>141</v>
      </c>
      <c r="I1258" s="1" t="s">
        <v>124</v>
      </c>
      <c r="J1258" s="1" t="s">
        <v>125</v>
      </c>
      <c r="K1258" s="1" t="s">
        <v>109</v>
      </c>
      <c r="L1258" s="1">
        <v>2796727</v>
      </c>
      <c r="M1258" s="1" t="s">
        <v>1417</v>
      </c>
      <c r="N1258" s="5">
        <f>DATE(2021,7,22)</f>
        <v>44399</v>
      </c>
      <c r="O1258" s="5">
        <f>DATE(2023,12,22)</f>
        <v>45282</v>
      </c>
      <c r="P1258" s="5">
        <f t="shared" si="449"/>
        <v>46377</v>
      </c>
      <c r="Q1258" s="1">
        <v>1800</v>
      </c>
      <c r="R1258" s="1">
        <v>1600</v>
      </c>
      <c r="S1258" s="1">
        <f t="shared" si="450"/>
        <v>1600</v>
      </c>
      <c r="T1258" s="1">
        <v>1</v>
      </c>
      <c r="U1258" s="1" t="str">
        <f t="shared" si="451"/>
        <v>SIM</v>
      </c>
      <c r="V1258" s="1">
        <f t="shared" si="452"/>
        <v>884</v>
      </c>
      <c r="W1258" s="4">
        <f t="shared" si="453"/>
        <v>1.8099547511312217</v>
      </c>
      <c r="X1258" s="4">
        <f t="shared" si="454"/>
        <v>660.63348416289591</v>
      </c>
      <c r="Y1258" s="4">
        <f t="shared" si="455"/>
        <v>0.82579185520361986</v>
      </c>
      <c r="AB1258" s="5">
        <f t="shared" si="456"/>
        <v>45292</v>
      </c>
      <c r="AC1258" s="5">
        <f t="shared" si="457"/>
        <v>45657</v>
      </c>
      <c r="AD1258" s="1">
        <v>9</v>
      </c>
      <c r="AE1258" s="1">
        <f t="shared" si="458"/>
        <v>0</v>
      </c>
      <c r="AF1258" s="1">
        <f t="shared" si="459"/>
        <v>0</v>
      </c>
      <c r="AG1258" s="1">
        <f t="shared" si="460"/>
        <v>0</v>
      </c>
      <c r="AH1258" s="1">
        <f t="shared" si="461"/>
        <v>0</v>
      </c>
      <c r="AI1258" s="1">
        <f t="shared" si="462"/>
        <v>183</v>
      </c>
      <c r="AJ1258" s="3">
        <f t="shared" si="463"/>
        <v>0.5</v>
      </c>
      <c r="AK1258" s="3">
        <f t="shared" si="464"/>
        <v>0.41289592760180993</v>
      </c>
      <c r="AL1258" s="3">
        <f t="shared" si="465"/>
        <v>1.8580316742081446</v>
      </c>
      <c r="AM1258" s="3">
        <f t="shared" si="466"/>
        <v>1.8580316742081446</v>
      </c>
      <c r="AN1258" s="3">
        <f t="shared" si="467"/>
        <v>0</v>
      </c>
      <c r="AO1258" s="3">
        <f t="shared" si="468"/>
        <v>1.8580316742081446</v>
      </c>
      <c r="AP1258" s="1" t="str">
        <f>INDEX({"EAD";"EAD";"EAD";"EAD MOOC";"EAD";"EAD";"EAD FP";"EAD";"PRESENCIAL";"PRESENCIAL";"PRESENCIAL";"PRESENCIAL"}, MATCH(CONCATENATE(E1258, ".", F1258),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59" spans="1:42" x14ac:dyDescent="0.25">
      <c r="A1259" s="1" t="s">
        <v>27</v>
      </c>
      <c r="B1259" s="1" t="s">
        <v>64</v>
      </c>
      <c r="C1259" s="1" t="s">
        <v>29</v>
      </c>
      <c r="D1259" s="1" t="s">
        <v>65</v>
      </c>
      <c r="E1259" s="1" t="s">
        <v>120</v>
      </c>
      <c r="F1259" s="1" t="s">
        <v>21</v>
      </c>
      <c r="G1259" s="1" t="s">
        <v>128</v>
      </c>
      <c r="H1259" s="1" t="s">
        <v>343</v>
      </c>
      <c r="I1259" s="1" t="s">
        <v>209</v>
      </c>
      <c r="J1259" s="1" t="s">
        <v>125</v>
      </c>
      <c r="K1259" s="1" t="s">
        <v>130</v>
      </c>
      <c r="L1259" s="1">
        <v>2837309</v>
      </c>
      <c r="M1259" s="1" t="s">
        <v>1418</v>
      </c>
      <c r="N1259" s="5">
        <f>DATE(2022,2,7)</f>
        <v>44599</v>
      </c>
      <c r="O1259" s="5">
        <f>DATE(2024,12,20)</f>
        <v>45646</v>
      </c>
      <c r="P1259" s="5">
        <f t="shared" si="449"/>
        <v>46741</v>
      </c>
      <c r="Q1259" s="1">
        <v>3536</v>
      </c>
      <c r="R1259" s="1">
        <v>1000</v>
      </c>
      <c r="S1259" s="1">
        <f t="shared" si="450"/>
        <v>3100</v>
      </c>
      <c r="T1259" s="1">
        <v>1.5</v>
      </c>
      <c r="U1259" s="1" t="str">
        <f t="shared" si="451"/>
        <v>SIM</v>
      </c>
      <c r="V1259" s="1">
        <f t="shared" si="452"/>
        <v>1048</v>
      </c>
      <c r="W1259" s="4">
        <f t="shared" si="453"/>
        <v>2.9580152671755724</v>
      </c>
      <c r="X1259" s="4">
        <f t="shared" si="454"/>
        <v>1079.675572519084</v>
      </c>
      <c r="Y1259" s="4">
        <f t="shared" si="455"/>
        <v>1.349594465648855</v>
      </c>
      <c r="AB1259" s="5">
        <f t="shared" si="456"/>
        <v>45292</v>
      </c>
      <c r="AC1259" s="5">
        <f t="shared" si="457"/>
        <v>45657</v>
      </c>
      <c r="AD1259" s="1">
        <v>59</v>
      </c>
      <c r="AE1259" s="1">
        <f t="shared" si="458"/>
        <v>0</v>
      </c>
      <c r="AF1259" s="1">
        <f t="shared" si="459"/>
        <v>0</v>
      </c>
      <c r="AG1259" s="1">
        <f t="shared" si="460"/>
        <v>355</v>
      </c>
      <c r="AH1259" s="1">
        <f t="shared" si="461"/>
        <v>0</v>
      </c>
      <c r="AI1259" s="1">
        <f t="shared" si="462"/>
        <v>0</v>
      </c>
      <c r="AJ1259" s="3">
        <f t="shared" si="463"/>
        <v>0.9699453551912568</v>
      </c>
      <c r="AK1259" s="3">
        <f t="shared" si="464"/>
        <v>1.309032883347933</v>
      </c>
      <c r="AL1259" s="3">
        <f t="shared" si="465"/>
        <v>77.232940117528045</v>
      </c>
      <c r="AM1259" s="3">
        <f t="shared" si="466"/>
        <v>115.84941017629207</v>
      </c>
      <c r="AN1259" s="3">
        <f t="shared" si="467"/>
        <v>0</v>
      </c>
      <c r="AO1259" s="3">
        <f t="shared" si="468"/>
        <v>115.84941017629207</v>
      </c>
      <c r="AP1259" s="1" t="str">
        <f>INDEX({"EAD";"EAD";"EAD";"EAD MOOC";"EAD";"EAD";"EAD FP";"EAD";"PRESENCIAL";"PRESENCIAL";"PRESENCIAL";"PRESENCIAL"}, MATCH(CONCATENATE(E1259, ".", F1259),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60" spans="1:42" x14ac:dyDescent="0.25">
      <c r="A1260" s="1" t="s">
        <v>27</v>
      </c>
      <c r="B1260" s="1" t="s">
        <v>64</v>
      </c>
      <c r="C1260" s="1" t="s">
        <v>29</v>
      </c>
      <c r="D1260" s="1" t="s">
        <v>65</v>
      </c>
      <c r="E1260" s="1" t="s">
        <v>120</v>
      </c>
      <c r="F1260" s="1" t="s">
        <v>21</v>
      </c>
      <c r="G1260" s="1" t="s">
        <v>128</v>
      </c>
      <c r="H1260" s="1" t="s">
        <v>1414</v>
      </c>
      <c r="I1260" s="1" t="s">
        <v>124</v>
      </c>
      <c r="J1260" s="1" t="s">
        <v>125</v>
      </c>
      <c r="K1260" s="1" t="s">
        <v>130</v>
      </c>
      <c r="L1260" s="1">
        <v>2837310</v>
      </c>
      <c r="M1260" s="1" t="s">
        <v>1419</v>
      </c>
      <c r="N1260" s="5">
        <f>DATE(2022,2,7)</f>
        <v>44599</v>
      </c>
      <c r="O1260" s="5">
        <f>DATE(2024,12,20)</f>
        <v>45646</v>
      </c>
      <c r="P1260" s="5">
        <f t="shared" si="449"/>
        <v>46741</v>
      </c>
      <c r="Q1260" s="1">
        <v>3332</v>
      </c>
      <c r="R1260" s="1">
        <v>800</v>
      </c>
      <c r="S1260" s="1">
        <f t="shared" si="450"/>
        <v>3000</v>
      </c>
      <c r="T1260" s="1">
        <v>1.5</v>
      </c>
      <c r="U1260" s="1" t="str">
        <f t="shared" si="451"/>
        <v>SIM</v>
      </c>
      <c r="V1260" s="1">
        <f t="shared" si="452"/>
        <v>1048</v>
      </c>
      <c r="W1260" s="4">
        <f t="shared" si="453"/>
        <v>2.8625954198473282</v>
      </c>
      <c r="X1260" s="4">
        <f t="shared" si="454"/>
        <v>1044.8473282442749</v>
      </c>
      <c r="Y1260" s="4">
        <f t="shared" si="455"/>
        <v>1.3060591603053435</v>
      </c>
      <c r="AB1260" s="5">
        <f t="shared" si="456"/>
        <v>45292</v>
      </c>
      <c r="AC1260" s="5">
        <f t="shared" si="457"/>
        <v>45657</v>
      </c>
      <c r="AD1260" s="1">
        <v>51</v>
      </c>
      <c r="AE1260" s="1">
        <f t="shared" si="458"/>
        <v>0</v>
      </c>
      <c r="AF1260" s="1">
        <f t="shared" si="459"/>
        <v>0</v>
      </c>
      <c r="AG1260" s="1">
        <f t="shared" si="460"/>
        <v>355</v>
      </c>
      <c r="AH1260" s="1">
        <f t="shared" si="461"/>
        <v>0</v>
      </c>
      <c r="AI1260" s="1">
        <f t="shared" si="462"/>
        <v>0</v>
      </c>
      <c r="AJ1260" s="3">
        <f t="shared" si="463"/>
        <v>0.9699453551912568</v>
      </c>
      <c r="AK1260" s="3">
        <f t="shared" si="464"/>
        <v>1.2668060161431611</v>
      </c>
      <c r="AL1260" s="3">
        <f t="shared" si="465"/>
        <v>64.607106823301223</v>
      </c>
      <c r="AM1260" s="3">
        <f t="shared" si="466"/>
        <v>96.910660234951834</v>
      </c>
      <c r="AN1260" s="3">
        <f t="shared" si="467"/>
        <v>0</v>
      </c>
      <c r="AO1260" s="3">
        <f t="shared" si="468"/>
        <v>96.910660234951834</v>
      </c>
      <c r="AP1260" s="1" t="str">
        <f>INDEX({"EAD";"EAD";"EAD";"EAD MOOC";"EAD";"EAD";"EAD FP";"EAD";"PRESENCIAL";"PRESENCIAL";"PRESENCIAL";"PRESENCIAL"}, MATCH(CONCATENATE(E1260, ".", F1260),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61" spans="1:42" x14ac:dyDescent="0.25">
      <c r="A1261" s="1" t="s">
        <v>27</v>
      </c>
      <c r="B1261" s="1" t="s">
        <v>64</v>
      </c>
      <c r="C1261" s="1" t="s">
        <v>29</v>
      </c>
      <c r="D1261" s="1" t="s">
        <v>65</v>
      </c>
      <c r="E1261" s="1" t="s">
        <v>120</v>
      </c>
      <c r="F1261" s="1" t="s">
        <v>21</v>
      </c>
      <c r="G1261" s="1" t="s">
        <v>140</v>
      </c>
      <c r="H1261" s="1" t="s">
        <v>141</v>
      </c>
      <c r="I1261" s="1" t="s">
        <v>124</v>
      </c>
      <c r="J1261" s="1" t="s">
        <v>125</v>
      </c>
      <c r="K1261" s="1" t="s">
        <v>109</v>
      </c>
      <c r="L1261" s="1">
        <v>2837312</v>
      </c>
      <c r="M1261" s="1" t="s">
        <v>1420</v>
      </c>
      <c r="N1261" s="5">
        <f>DATE(2022,2,7)</f>
        <v>44599</v>
      </c>
      <c r="O1261" s="5">
        <f>DATE(2024,7,12)</f>
        <v>45485</v>
      </c>
      <c r="P1261" s="5">
        <f t="shared" si="449"/>
        <v>46580</v>
      </c>
      <c r="Q1261" s="1">
        <v>1800</v>
      </c>
      <c r="R1261" s="1">
        <v>1600</v>
      </c>
      <c r="S1261" s="1">
        <f t="shared" si="450"/>
        <v>1600</v>
      </c>
      <c r="T1261" s="1">
        <v>1</v>
      </c>
      <c r="U1261" s="1" t="str">
        <f t="shared" si="451"/>
        <v>SIM</v>
      </c>
      <c r="V1261" s="1">
        <f t="shared" si="452"/>
        <v>887</v>
      </c>
      <c r="W1261" s="4">
        <f t="shared" si="453"/>
        <v>1.8038331454340473</v>
      </c>
      <c r="X1261" s="4">
        <f t="shared" si="454"/>
        <v>658.39909808342725</v>
      </c>
      <c r="Y1261" s="4">
        <f t="shared" si="455"/>
        <v>0.82299887260428406</v>
      </c>
      <c r="AB1261" s="5">
        <f t="shared" si="456"/>
        <v>45292</v>
      </c>
      <c r="AC1261" s="5">
        <f t="shared" si="457"/>
        <v>45657</v>
      </c>
      <c r="AD1261" s="1">
        <v>18</v>
      </c>
      <c r="AE1261" s="1">
        <f t="shared" si="458"/>
        <v>0</v>
      </c>
      <c r="AF1261" s="1">
        <f t="shared" si="459"/>
        <v>0</v>
      </c>
      <c r="AG1261" s="1">
        <f t="shared" si="460"/>
        <v>194</v>
      </c>
      <c r="AH1261" s="1">
        <f t="shared" si="461"/>
        <v>0</v>
      </c>
      <c r="AI1261" s="1">
        <f t="shared" si="462"/>
        <v>0</v>
      </c>
      <c r="AJ1261" s="3">
        <f t="shared" si="463"/>
        <v>0.5300546448087432</v>
      </c>
      <c r="AK1261" s="3">
        <f t="shared" si="464"/>
        <v>0.4362343750962599</v>
      </c>
      <c r="AL1261" s="3">
        <f t="shared" si="465"/>
        <v>7.8522187517326785</v>
      </c>
      <c r="AM1261" s="3">
        <f t="shared" si="466"/>
        <v>7.8522187517326785</v>
      </c>
      <c r="AN1261" s="3">
        <f t="shared" si="467"/>
        <v>0</v>
      </c>
      <c r="AO1261" s="3">
        <f t="shared" si="468"/>
        <v>7.8522187517326785</v>
      </c>
      <c r="AP1261" s="1" t="str">
        <f>INDEX({"EAD";"EAD";"EAD";"EAD MOOC";"EAD";"EAD";"EAD FP";"EAD";"PRESENCIAL";"PRESENCIAL";"PRESENCIAL";"PRESENCIAL"}, MATCH(CONCATENATE(E1261, ".", F1261),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62" spans="1:42" x14ac:dyDescent="0.25">
      <c r="A1262" s="1" t="s">
        <v>27</v>
      </c>
      <c r="B1262" s="1" t="s">
        <v>64</v>
      </c>
      <c r="C1262" s="1" t="s">
        <v>29</v>
      </c>
      <c r="D1262" s="1" t="s">
        <v>65</v>
      </c>
      <c r="E1262" s="1" t="s">
        <v>120</v>
      </c>
      <c r="F1262" s="1" t="s">
        <v>21</v>
      </c>
      <c r="G1262" s="1" t="s">
        <v>140</v>
      </c>
      <c r="H1262" s="1" t="s">
        <v>141</v>
      </c>
      <c r="I1262" s="1" t="s">
        <v>124</v>
      </c>
      <c r="J1262" s="1" t="s">
        <v>125</v>
      </c>
      <c r="K1262" s="1" t="s">
        <v>109</v>
      </c>
      <c r="L1262" s="1">
        <v>2894887</v>
      </c>
      <c r="M1262" s="1" t="s">
        <v>1421</v>
      </c>
      <c r="N1262" s="5">
        <f>DATE(2022,7,25)</f>
        <v>44767</v>
      </c>
      <c r="O1262" s="5">
        <f>DATE(2024,12,20)</f>
        <v>45646</v>
      </c>
      <c r="P1262" s="5">
        <f t="shared" si="449"/>
        <v>46741</v>
      </c>
      <c r="Q1262" s="1">
        <v>1800</v>
      </c>
      <c r="R1262" s="1">
        <v>1600</v>
      </c>
      <c r="S1262" s="1">
        <f t="shared" si="450"/>
        <v>1600</v>
      </c>
      <c r="T1262" s="1">
        <v>1</v>
      </c>
      <c r="U1262" s="1" t="str">
        <f t="shared" si="451"/>
        <v>SIM</v>
      </c>
      <c r="V1262" s="1">
        <f t="shared" si="452"/>
        <v>880</v>
      </c>
      <c r="W1262" s="4">
        <f t="shared" si="453"/>
        <v>1.8181818181818181</v>
      </c>
      <c r="X1262" s="4">
        <f t="shared" si="454"/>
        <v>663.63636363636363</v>
      </c>
      <c r="Y1262" s="4">
        <f t="shared" si="455"/>
        <v>0.82954545454545459</v>
      </c>
      <c r="AB1262" s="5">
        <f t="shared" si="456"/>
        <v>45292</v>
      </c>
      <c r="AC1262" s="5">
        <f t="shared" si="457"/>
        <v>45657</v>
      </c>
      <c r="AD1262" s="1">
        <v>2</v>
      </c>
      <c r="AE1262" s="1">
        <f t="shared" si="458"/>
        <v>0</v>
      </c>
      <c r="AF1262" s="1">
        <f t="shared" si="459"/>
        <v>0</v>
      </c>
      <c r="AG1262" s="1">
        <f t="shared" si="460"/>
        <v>355</v>
      </c>
      <c r="AH1262" s="1">
        <f t="shared" si="461"/>
        <v>0</v>
      </c>
      <c r="AI1262" s="1">
        <f t="shared" si="462"/>
        <v>0</v>
      </c>
      <c r="AJ1262" s="3">
        <f t="shared" si="463"/>
        <v>0.9699453551912568</v>
      </c>
      <c r="AK1262" s="3">
        <f t="shared" si="464"/>
        <v>0.80461376055638356</v>
      </c>
      <c r="AL1262" s="3">
        <f t="shared" si="465"/>
        <v>1.6092275211127671</v>
      </c>
      <c r="AM1262" s="3">
        <f t="shared" si="466"/>
        <v>1.6092275211127671</v>
      </c>
      <c r="AN1262" s="3">
        <f t="shared" si="467"/>
        <v>0</v>
      </c>
      <c r="AO1262" s="3">
        <f t="shared" si="468"/>
        <v>1.6092275211127671</v>
      </c>
      <c r="AP1262" s="1" t="str">
        <f>INDEX({"EAD";"EAD";"EAD";"EAD MOOC";"EAD";"EAD";"EAD FP";"EAD";"PRESENCIAL";"PRESENCIAL";"PRESENCIAL";"PRESENCIAL"}, MATCH(CONCATENATE(E1262, ".", F1262),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63" spans="1:42" x14ac:dyDescent="0.25">
      <c r="A1263" s="1" t="s">
        <v>27</v>
      </c>
      <c r="B1263" s="1" t="s">
        <v>64</v>
      </c>
      <c r="C1263" s="1" t="s">
        <v>29</v>
      </c>
      <c r="D1263" s="1" t="s">
        <v>65</v>
      </c>
      <c r="E1263" s="1" t="s">
        <v>120</v>
      </c>
      <c r="F1263" s="1" t="s">
        <v>21</v>
      </c>
      <c r="G1263" s="1" t="s">
        <v>128</v>
      </c>
      <c r="H1263" s="1" t="s">
        <v>343</v>
      </c>
      <c r="I1263" s="1" t="s">
        <v>209</v>
      </c>
      <c r="J1263" s="1" t="s">
        <v>125</v>
      </c>
      <c r="K1263" s="1" t="s">
        <v>130</v>
      </c>
      <c r="L1263" s="1">
        <v>2951020</v>
      </c>
      <c r="M1263" s="1" t="s">
        <v>1422</v>
      </c>
      <c r="N1263" s="5">
        <f>DATE(2023,2,6)</f>
        <v>44963</v>
      </c>
      <c r="O1263" s="5">
        <f>DATE(2025,12,23)</f>
        <v>46014</v>
      </c>
      <c r="P1263" s="5">
        <f t="shared" si="449"/>
        <v>47109</v>
      </c>
      <c r="Q1263" s="1">
        <v>3536</v>
      </c>
      <c r="R1263" s="1">
        <v>1000</v>
      </c>
      <c r="S1263" s="1">
        <f t="shared" si="450"/>
        <v>3100</v>
      </c>
      <c r="T1263" s="1">
        <v>1.5</v>
      </c>
      <c r="U1263" s="1" t="str">
        <f t="shared" si="451"/>
        <v>SIM</v>
      </c>
      <c r="V1263" s="1">
        <f t="shared" si="452"/>
        <v>1052</v>
      </c>
      <c r="W1263" s="4">
        <f t="shared" si="453"/>
        <v>2.9467680608365021</v>
      </c>
      <c r="X1263" s="4">
        <f t="shared" si="454"/>
        <v>1075.5703422053232</v>
      </c>
      <c r="Y1263" s="4">
        <f t="shared" si="455"/>
        <v>1.344462927756654</v>
      </c>
      <c r="AB1263" s="5">
        <f t="shared" si="456"/>
        <v>45292</v>
      </c>
      <c r="AC1263" s="5">
        <f t="shared" si="457"/>
        <v>45657</v>
      </c>
      <c r="AD1263" s="1">
        <v>34</v>
      </c>
      <c r="AE1263" s="1">
        <f t="shared" si="458"/>
        <v>366</v>
      </c>
      <c r="AF1263" s="1">
        <f t="shared" si="459"/>
        <v>0</v>
      </c>
      <c r="AG1263" s="1">
        <f t="shared" si="460"/>
        <v>0</v>
      </c>
      <c r="AH1263" s="1">
        <f t="shared" si="461"/>
        <v>0</v>
      </c>
      <c r="AI1263" s="1">
        <f t="shared" si="462"/>
        <v>0</v>
      </c>
      <c r="AJ1263" s="3">
        <f t="shared" si="463"/>
        <v>1</v>
      </c>
      <c r="AK1263" s="3">
        <f t="shared" si="464"/>
        <v>1.344462927756654</v>
      </c>
      <c r="AL1263" s="3">
        <f t="shared" si="465"/>
        <v>45.711739543726239</v>
      </c>
      <c r="AM1263" s="3">
        <f t="shared" si="466"/>
        <v>68.567609315589351</v>
      </c>
      <c r="AN1263" s="3">
        <f t="shared" si="467"/>
        <v>0</v>
      </c>
      <c r="AO1263" s="3">
        <f t="shared" si="468"/>
        <v>68.567609315589351</v>
      </c>
      <c r="AP1263" s="1" t="str">
        <f>INDEX({"EAD";"EAD";"EAD";"EAD MOOC";"EAD";"EAD";"EAD FP";"EAD";"PRESENCIAL";"PRESENCIAL";"PRESENCIAL";"PRESENCIAL"}, MATCH(CONCATENATE(E1263, ".", F1263),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64" spans="1:42" x14ac:dyDescent="0.25">
      <c r="A1264" s="1" t="s">
        <v>27</v>
      </c>
      <c r="B1264" s="1" t="s">
        <v>64</v>
      </c>
      <c r="C1264" s="1" t="s">
        <v>29</v>
      </c>
      <c r="D1264" s="1" t="s">
        <v>65</v>
      </c>
      <c r="E1264" s="1" t="s">
        <v>120</v>
      </c>
      <c r="F1264" s="1" t="s">
        <v>21</v>
      </c>
      <c r="G1264" s="1" t="s">
        <v>128</v>
      </c>
      <c r="H1264" s="1" t="s">
        <v>1414</v>
      </c>
      <c r="I1264" s="1" t="s">
        <v>124</v>
      </c>
      <c r="J1264" s="1" t="s">
        <v>125</v>
      </c>
      <c r="K1264" s="1" t="s">
        <v>130</v>
      </c>
      <c r="L1264" s="1">
        <v>2951022</v>
      </c>
      <c r="M1264" s="1" t="s">
        <v>1423</v>
      </c>
      <c r="N1264" s="5">
        <f>DATE(2023,2,6)</f>
        <v>44963</v>
      </c>
      <c r="O1264" s="5">
        <f>DATE(2025,12,23)</f>
        <v>46014</v>
      </c>
      <c r="P1264" s="5">
        <f t="shared" si="449"/>
        <v>47109</v>
      </c>
      <c r="Q1264" s="1">
        <v>3332</v>
      </c>
      <c r="R1264" s="1">
        <v>800</v>
      </c>
      <c r="S1264" s="1">
        <f t="shared" si="450"/>
        <v>3000</v>
      </c>
      <c r="T1264" s="1">
        <v>1.5</v>
      </c>
      <c r="U1264" s="1" t="str">
        <f t="shared" si="451"/>
        <v>SIM</v>
      </c>
      <c r="V1264" s="1">
        <f t="shared" si="452"/>
        <v>1052</v>
      </c>
      <c r="W1264" s="4">
        <f t="shared" si="453"/>
        <v>2.8517110266159698</v>
      </c>
      <c r="X1264" s="4">
        <f t="shared" si="454"/>
        <v>1040.874524714829</v>
      </c>
      <c r="Y1264" s="4">
        <f t="shared" si="455"/>
        <v>1.3010931558935364</v>
      </c>
      <c r="AB1264" s="5">
        <f t="shared" si="456"/>
        <v>45292</v>
      </c>
      <c r="AC1264" s="5">
        <f t="shared" si="457"/>
        <v>45657</v>
      </c>
      <c r="AD1264" s="1">
        <v>35</v>
      </c>
      <c r="AE1264" s="1">
        <f t="shared" si="458"/>
        <v>366</v>
      </c>
      <c r="AF1264" s="1">
        <f t="shared" si="459"/>
        <v>0</v>
      </c>
      <c r="AG1264" s="1">
        <f t="shared" si="460"/>
        <v>0</v>
      </c>
      <c r="AH1264" s="1">
        <f t="shared" si="461"/>
        <v>0</v>
      </c>
      <c r="AI1264" s="1">
        <f t="shared" si="462"/>
        <v>0</v>
      </c>
      <c r="AJ1264" s="3">
        <f t="shared" si="463"/>
        <v>1</v>
      </c>
      <c r="AK1264" s="3">
        <f t="shared" si="464"/>
        <v>1.3010931558935364</v>
      </c>
      <c r="AL1264" s="3">
        <f t="shared" si="465"/>
        <v>45.538260456273775</v>
      </c>
      <c r="AM1264" s="3">
        <f t="shared" si="466"/>
        <v>68.307390684410663</v>
      </c>
      <c r="AN1264" s="3">
        <f t="shared" si="467"/>
        <v>0</v>
      </c>
      <c r="AO1264" s="3">
        <f t="shared" si="468"/>
        <v>68.307390684410663</v>
      </c>
      <c r="AP1264" s="1" t="str">
        <f>INDEX({"EAD";"EAD";"EAD";"EAD MOOC";"EAD";"EAD";"EAD FP";"EAD";"PRESENCIAL";"PRESENCIAL";"PRESENCIAL";"PRESENCIAL"}, MATCH(CONCATENATE(E1264, ".", F1264),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65" spans="1:42" x14ac:dyDescent="0.25">
      <c r="A1265" s="1" t="s">
        <v>27</v>
      </c>
      <c r="B1265" s="1" t="s">
        <v>64</v>
      </c>
      <c r="C1265" s="1" t="s">
        <v>29</v>
      </c>
      <c r="D1265" s="1" t="s">
        <v>65</v>
      </c>
      <c r="E1265" s="1" t="s">
        <v>120</v>
      </c>
      <c r="F1265" s="1" t="s">
        <v>21</v>
      </c>
      <c r="G1265" s="1" t="s">
        <v>140</v>
      </c>
      <c r="H1265" s="1" t="s">
        <v>141</v>
      </c>
      <c r="I1265" s="1" t="s">
        <v>124</v>
      </c>
      <c r="J1265" s="1" t="s">
        <v>125</v>
      </c>
      <c r="K1265" s="1" t="s">
        <v>109</v>
      </c>
      <c r="L1265" s="1">
        <v>2951037</v>
      </c>
      <c r="M1265" s="1" t="s">
        <v>1424</v>
      </c>
      <c r="N1265" s="5">
        <f>DATE(2023,2,6)</f>
        <v>44963</v>
      </c>
      <c r="O1265" s="5">
        <f>DATE(2025,7,11)</f>
        <v>45849</v>
      </c>
      <c r="P1265" s="5">
        <f t="shared" si="449"/>
        <v>46944</v>
      </c>
      <c r="Q1265" s="1">
        <v>1800</v>
      </c>
      <c r="R1265" s="1">
        <v>1600</v>
      </c>
      <c r="S1265" s="1">
        <f t="shared" si="450"/>
        <v>1600</v>
      </c>
      <c r="T1265" s="1">
        <v>1</v>
      </c>
      <c r="U1265" s="1" t="str">
        <f t="shared" si="451"/>
        <v>SIM</v>
      </c>
      <c r="V1265" s="1">
        <f t="shared" si="452"/>
        <v>887</v>
      </c>
      <c r="W1265" s="4">
        <f t="shared" si="453"/>
        <v>1.8038331454340473</v>
      </c>
      <c r="X1265" s="4">
        <f t="shared" si="454"/>
        <v>658.39909808342725</v>
      </c>
      <c r="Y1265" s="4">
        <f t="shared" si="455"/>
        <v>0.82299887260428406</v>
      </c>
      <c r="AB1265" s="5">
        <f t="shared" si="456"/>
        <v>45292</v>
      </c>
      <c r="AC1265" s="5">
        <f t="shared" si="457"/>
        <v>45657</v>
      </c>
      <c r="AD1265" s="1">
        <v>36</v>
      </c>
      <c r="AE1265" s="1">
        <f t="shared" si="458"/>
        <v>366</v>
      </c>
      <c r="AF1265" s="1">
        <f t="shared" si="459"/>
        <v>0</v>
      </c>
      <c r="AG1265" s="1">
        <f t="shared" si="460"/>
        <v>0</v>
      </c>
      <c r="AH1265" s="1">
        <f t="shared" si="461"/>
        <v>0</v>
      </c>
      <c r="AI1265" s="1">
        <f t="shared" si="462"/>
        <v>0</v>
      </c>
      <c r="AJ1265" s="3">
        <f t="shared" si="463"/>
        <v>1</v>
      </c>
      <c r="AK1265" s="3">
        <f t="shared" si="464"/>
        <v>0.82299887260428406</v>
      </c>
      <c r="AL1265" s="3">
        <f t="shared" si="465"/>
        <v>29.627959413754226</v>
      </c>
      <c r="AM1265" s="3">
        <f t="shared" si="466"/>
        <v>29.627959413754226</v>
      </c>
      <c r="AN1265" s="3">
        <f t="shared" si="467"/>
        <v>0</v>
      </c>
      <c r="AO1265" s="3">
        <f t="shared" si="468"/>
        <v>29.627959413754226</v>
      </c>
      <c r="AP1265" s="1" t="str">
        <f>INDEX({"EAD";"EAD";"EAD";"EAD MOOC";"EAD";"EAD";"EAD FP";"EAD";"PRESENCIAL";"PRESENCIAL";"PRESENCIAL";"PRESENCIAL"}, MATCH(CONCATENATE(E1265, ".", F1265),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66" spans="1:42" x14ac:dyDescent="0.25">
      <c r="A1266" s="1" t="s">
        <v>27</v>
      </c>
      <c r="B1266" s="1" t="s">
        <v>64</v>
      </c>
      <c r="C1266" s="1" t="s">
        <v>29</v>
      </c>
      <c r="D1266" s="1" t="s">
        <v>65</v>
      </c>
      <c r="E1266" s="1" t="s">
        <v>170</v>
      </c>
      <c r="F1266" s="1" t="s">
        <v>21</v>
      </c>
      <c r="G1266" s="1" t="s">
        <v>128</v>
      </c>
      <c r="H1266" s="1" t="s">
        <v>171</v>
      </c>
      <c r="I1266" s="1" t="s">
        <v>172</v>
      </c>
      <c r="J1266" s="1" t="s">
        <v>125</v>
      </c>
      <c r="K1266" s="1" t="s">
        <v>163</v>
      </c>
      <c r="L1266" s="1">
        <v>2958221</v>
      </c>
      <c r="M1266" s="1" t="s">
        <v>173</v>
      </c>
      <c r="N1266" s="5">
        <f>DATE(2023,4,3)</f>
        <v>45019</v>
      </c>
      <c r="O1266" s="5">
        <f>DATE(2024,8,31)</f>
        <v>45535</v>
      </c>
      <c r="P1266" s="5">
        <f t="shared" si="449"/>
        <v>46630</v>
      </c>
      <c r="Q1266" s="1">
        <v>1200</v>
      </c>
      <c r="R1266" s="1">
        <v>1200</v>
      </c>
      <c r="S1266" s="1">
        <f t="shared" si="450"/>
        <v>1200</v>
      </c>
      <c r="T1266" s="1">
        <v>2</v>
      </c>
      <c r="U1266" s="1" t="str">
        <f t="shared" si="451"/>
        <v>SIM</v>
      </c>
      <c r="V1266" s="1">
        <f t="shared" si="452"/>
        <v>517</v>
      </c>
      <c r="W1266" s="4">
        <f t="shared" si="453"/>
        <v>2.3210831721470018</v>
      </c>
      <c r="X1266" s="4">
        <f t="shared" si="454"/>
        <v>847.19535783365563</v>
      </c>
      <c r="Y1266" s="4">
        <f t="shared" si="455"/>
        <v>1.0589941972920696</v>
      </c>
      <c r="AB1266" s="5">
        <f t="shared" si="456"/>
        <v>45292</v>
      </c>
      <c r="AC1266" s="5">
        <f t="shared" si="457"/>
        <v>45657</v>
      </c>
      <c r="AD1266" s="1">
        <v>19</v>
      </c>
      <c r="AE1266" s="1">
        <f t="shared" si="458"/>
        <v>0</v>
      </c>
      <c r="AF1266" s="1">
        <f t="shared" si="459"/>
        <v>0</v>
      </c>
      <c r="AG1266" s="1">
        <f t="shared" si="460"/>
        <v>244</v>
      </c>
      <c r="AH1266" s="1">
        <f t="shared" si="461"/>
        <v>0</v>
      </c>
      <c r="AI1266" s="1">
        <f t="shared" si="462"/>
        <v>0</v>
      </c>
      <c r="AJ1266" s="3">
        <f t="shared" si="463"/>
        <v>0.66666666666666663</v>
      </c>
      <c r="AK1266" s="3">
        <f t="shared" si="464"/>
        <v>0.7059961315280463</v>
      </c>
      <c r="AL1266" s="3">
        <f t="shared" si="465"/>
        <v>13.413926499032879</v>
      </c>
      <c r="AM1266" s="3">
        <f t="shared" si="466"/>
        <v>26.827852998065758</v>
      </c>
      <c r="AN1266" s="3">
        <f t="shared" si="467"/>
        <v>0</v>
      </c>
      <c r="AO1266" s="3">
        <f t="shared" si="468"/>
        <v>26.827852998065758</v>
      </c>
      <c r="AP1266" s="1" t="str">
        <f>INDEX({"EAD";"EAD";"EAD";"EAD MOOC";"EAD";"EAD";"EAD FP";"EAD";"PRESENCIAL";"PRESENCIAL";"PRESENCIAL";"PRESENCIAL"}, MATCH(CONCATENATE(E1266, ".", F1266),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267" spans="1:42" x14ac:dyDescent="0.25">
      <c r="A1267" s="1" t="s">
        <v>27</v>
      </c>
      <c r="B1267" s="1" t="s">
        <v>64</v>
      </c>
      <c r="C1267" s="1" t="s">
        <v>29</v>
      </c>
      <c r="D1267" s="1" t="s">
        <v>65</v>
      </c>
      <c r="E1267" s="1" t="s">
        <v>170</v>
      </c>
      <c r="F1267" s="1" t="s">
        <v>21</v>
      </c>
      <c r="G1267" s="1" t="s">
        <v>128</v>
      </c>
      <c r="H1267" s="1" t="s">
        <v>174</v>
      </c>
      <c r="I1267" s="1" t="s">
        <v>172</v>
      </c>
      <c r="J1267" s="1" t="s">
        <v>125</v>
      </c>
      <c r="K1267" s="1" t="s">
        <v>163</v>
      </c>
      <c r="L1267" s="1">
        <v>2959957</v>
      </c>
      <c r="M1267" s="1" t="s">
        <v>175</v>
      </c>
      <c r="N1267" s="5">
        <f>DATE(2023,4,3)</f>
        <v>45019</v>
      </c>
      <c r="O1267" s="5">
        <f>DATE(2024,8,31)</f>
        <v>45535</v>
      </c>
      <c r="P1267" s="5">
        <f t="shared" si="449"/>
        <v>46630</v>
      </c>
      <c r="Q1267" s="1">
        <v>1200</v>
      </c>
      <c r="R1267" s="1">
        <v>1200</v>
      </c>
      <c r="S1267" s="1">
        <f t="shared" si="450"/>
        <v>1200</v>
      </c>
      <c r="T1267" s="1">
        <v>1</v>
      </c>
      <c r="U1267" s="1" t="str">
        <f t="shared" si="451"/>
        <v>SIM</v>
      </c>
      <c r="V1267" s="1">
        <f t="shared" si="452"/>
        <v>517</v>
      </c>
      <c r="W1267" s="4">
        <f t="shared" si="453"/>
        <v>2.3210831721470018</v>
      </c>
      <c r="X1267" s="4">
        <f t="shared" si="454"/>
        <v>847.19535783365563</v>
      </c>
      <c r="Y1267" s="4">
        <f t="shared" si="455"/>
        <v>1.0589941972920696</v>
      </c>
      <c r="AB1267" s="5">
        <f t="shared" si="456"/>
        <v>45292</v>
      </c>
      <c r="AC1267" s="5">
        <f t="shared" si="457"/>
        <v>45657</v>
      </c>
      <c r="AD1267" s="1">
        <v>34</v>
      </c>
      <c r="AE1267" s="1">
        <f t="shared" si="458"/>
        <v>0</v>
      </c>
      <c r="AF1267" s="1">
        <f t="shared" si="459"/>
        <v>0</v>
      </c>
      <c r="AG1267" s="1">
        <f t="shared" si="460"/>
        <v>244</v>
      </c>
      <c r="AH1267" s="1">
        <f t="shared" si="461"/>
        <v>0</v>
      </c>
      <c r="AI1267" s="1">
        <f t="shared" si="462"/>
        <v>0</v>
      </c>
      <c r="AJ1267" s="3">
        <f t="shared" si="463"/>
        <v>0.66666666666666663</v>
      </c>
      <c r="AK1267" s="3">
        <f t="shared" si="464"/>
        <v>0.7059961315280463</v>
      </c>
      <c r="AL1267" s="3">
        <f t="shared" si="465"/>
        <v>24.003868471953574</v>
      </c>
      <c r="AM1267" s="3">
        <f t="shared" si="466"/>
        <v>24.003868471953574</v>
      </c>
      <c r="AN1267" s="3">
        <f t="shared" si="467"/>
        <v>0</v>
      </c>
      <c r="AO1267" s="3">
        <f t="shared" si="468"/>
        <v>24.003868471953574</v>
      </c>
      <c r="AP1267" s="1" t="str">
        <f>INDEX({"EAD";"EAD";"EAD";"EAD MOOC";"EAD";"EAD";"EAD FP";"EAD";"PRESENCIAL";"PRESENCIAL";"PRESENCIAL";"PRESENCIAL"}, MATCH(CONCATENATE(E1267, ".", F1267),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268" spans="1:42" x14ac:dyDescent="0.25">
      <c r="A1268" s="1" t="s">
        <v>27</v>
      </c>
      <c r="B1268" s="1" t="s">
        <v>64</v>
      </c>
      <c r="C1268" s="1" t="s">
        <v>29</v>
      </c>
      <c r="D1268" s="1" t="s">
        <v>65</v>
      </c>
      <c r="E1268" s="1" t="s">
        <v>170</v>
      </c>
      <c r="F1268" s="1" t="s">
        <v>21</v>
      </c>
      <c r="G1268" s="1" t="s">
        <v>128</v>
      </c>
      <c r="H1268" s="1" t="s">
        <v>176</v>
      </c>
      <c r="I1268" s="1" t="s">
        <v>172</v>
      </c>
      <c r="J1268" s="1" t="s">
        <v>125</v>
      </c>
      <c r="K1268" s="1" t="s">
        <v>163</v>
      </c>
      <c r="L1268" s="1">
        <v>2959959</v>
      </c>
      <c r="M1268" s="1" t="s">
        <v>177</v>
      </c>
      <c r="N1268" s="5">
        <f>DATE(2023,4,3)</f>
        <v>45019</v>
      </c>
      <c r="O1268" s="5">
        <f>DATE(2024,8,31)</f>
        <v>45535</v>
      </c>
      <c r="P1268" s="5">
        <f t="shared" si="449"/>
        <v>46630</v>
      </c>
      <c r="Q1268" s="1">
        <v>1200</v>
      </c>
      <c r="R1268" s="1">
        <v>800</v>
      </c>
      <c r="S1268" s="1">
        <f t="shared" si="450"/>
        <v>800</v>
      </c>
      <c r="T1268" s="1">
        <v>1.5</v>
      </c>
      <c r="U1268" s="1" t="str">
        <f t="shared" si="451"/>
        <v>SIM</v>
      </c>
      <c r="V1268" s="1">
        <f t="shared" si="452"/>
        <v>517</v>
      </c>
      <c r="W1268" s="4">
        <f t="shared" si="453"/>
        <v>1.5473887814313345</v>
      </c>
      <c r="X1268" s="4">
        <f t="shared" si="454"/>
        <v>564.79690522243709</v>
      </c>
      <c r="Y1268" s="4">
        <f t="shared" si="455"/>
        <v>0.70599613152804641</v>
      </c>
      <c r="AB1268" s="5">
        <f t="shared" si="456"/>
        <v>45292</v>
      </c>
      <c r="AC1268" s="5">
        <f t="shared" si="457"/>
        <v>45657</v>
      </c>
      <c r="AD1268" s="1">
        <v>12</v>
      </c>
      <c r="AE1268" s="1">
        <f t="shared" si="458"/>
        <v>0</v>
      </c>
      <c r="AF1268" s="1">
        <f t="shared" si="459"/>
        <v>0</v>
      </c>
      <c r="AG1268" s="1">
        <f t="shared" si="460"/>
        <v>244</v>
      </c>
      <c r="AH1268" s="1">
        <f t="shared" si="461"/>
        <v>0</v>
      </c>
      <c r="AI1268" s="1">
        <f t="shared" si="462"/>
        <v>0</v>
      </c>
      <c r="AJ1268" s="3">
        <f t="shared" si="463"/>
        <v>0.66666666666666663</v>
      </c>
      <c r="AK1268" s="3">
        <f t="shared" si="464"/>
        <v>0.47066408768536427</v>
      </c>
      <c r="AL1268" s="3">
        <f t="shared" si="465"/>
        <v>5.6479690522243713</v>
      </c>
      <c r="AM1268" s="3">
        <f t="shared" si="466"/>
        <v>8.4719535783365565</v>
      </c>
      <c r="AN1268" s="3">
        <f t="shared" si="467"/>
        <v>0</v>
      </c>
      <c r="AO1268" s="3">
        <f t="shared" si="468"/>
        <v>8.4719535783365565</v>
      </c>
      <c r="AP1268" s="1" t="str">
        <f>INDEX({"EAD";"EAD";"EAD";"EAD MOOC";"EAD";"EAD";"EAD FP";"EAD";"PRESENCIAL";"PRESENCIAL";"PRESENCIAL";"PRESENCIAL"}, MATCH(CONCATENATE(E1268, ".", F1268),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269" spans="1:42" x14ac:dyDescent="0.25">
      <c r="A1269" s="1" t="s">
        <v>27</v>
      </c>
      <c r="B1269" s="1" t="s">
        <v>64</v>
      </c>
      <c r="C1269" s="1" t="s">
        <v>29</v>
      </c>
      <c r="D1269" s="1" t="s">
        <v>65</v>
      </c>
      <c r="E1269" s="1" t="s">
        <v>120</v>
      </c>
      <c r="F1269" s="1" t="s">
        <v>447</v>
      </c>
      <c r="G1269" s="1" t="s">
        <v>128</v>
      </c>
      <c r="H1269" s="1" t="s">
        <v>1414</v>
      </c>
      <c r="I1269" s="1" t="s">
        <v>124</v>
      </c>
      <c r="J1269" s="1" t="s">
        <v>125</v>
      </c>
      <c r="K1269" s="1" t="s">
        <v>259</v>
      </c>
      <c r="L1269" s="1">
        <v>3070778</v>
      </c>
      <c r="M1269" s="1" t="s">
        <v>1425</v>
      </c>
      <c r="N1269" s="5">
        <f>DATE(2023,7,18)</f>
        <v>45125</v>
      </c>
      <c r="O1269" s="5">
        <f>DATE(2025,12,24)</f>
        <v>46015</v>
      </c>
      <c r="P1269" s="5">
        <f t="shared" si="449"/>
        <v>47110</v>
      </c>
      <c r="Q1269" s="1">
        <v>1080</v>
      </c>
      <c r="R1269" s="1">
        <v>800</v>
      </c>
      <c r="S1269" s="1">
        <f t="shared" si="450"/>
        <v>800</v>
      </c>
      <c r="T1269" s="1">
        <v>1</v>
      </c>
      <c r="U1269" s="1" t="str">
        <f t="shared" si="451"/>
        <v>SIM</v>
      </c>
      <c r="V1269" s="1">
        <f t="shared" si="452"/>
        <v>891</v>
      </c>
      <c r="W1269" s="4">
        <f t="shared" si="453"/>
        <v>0.89786756453423122</v>
      </c>
      <c r="X1269" s="4">
        <f t="shared" si="454"/>
        <v>327.7216610549944</v>
      </c>
      <c r="Y1269" s="4">
        <f t="shared" si="455"/>
        <v>0.40965207631874301</v>
      </c>
      <c r="AB1269" s="5">
        <f t="shared" si="456"/>
        <v>45292</v>
      </c>
      <c r="AC1269" s="5">
        <f t="shared" si="457"/>
        <v>45657</v>
      </c>
      <c r="AD1269" s="1">
        <v>30</v>
      </c>
      <c r="AE1269" s="1">
        <f t="shared" si="458"/>
        <v>366</v>
      </c>
      <c r="AF1269" s="1">
        <f t="shared" si="459"/>
        <v>0</v>
      </c>
      <c r="AG1269" s="1">
        <f t="shared" si="460"/>
        <v>0</v>
      </c>
      <c r="AH1269" s="1">
        <f t="shared" si="461"/>
        <v>0</v>
      </c>
      <c r="AI1269" s="1">
        <f t="shared" si="462"/>
        <v>0</v>
      </c>
      <c r="AJ1269" s="3">
        <f t="shared" si="463"/>
        <v>1</v>
      </c>
      <c r="AK1269" s="3">
        <f t="shared" si="464"/>
        <v>0.40965207631874301</v>
      </c>
      <c r="AL1269" s="3">
        <f t="shared" si="465"/>
        <v>12.289562289562291</v>
      </c>
      <c r="AM1269" s="3">
        <f t="shared" si="466"/>
        <v>12.289562289562291</v>
      </c>
      <c r="AN1269" s="3">
        <f t="shared" si="467"/>
        <v>0</v>
      </c>
      <c r="AO1269" s="3">
        <f t="shared" si="468"/>
        <v>12.289562289562291</v>
      </c>
      <c r="AP1269" s="1" t="str">
        <f>INDEX({"EAD";"EAD";"EAD";"EAD MOOC";"EAD";"EAD";"EAD FP";"EAD";"PRESENCIAL";"PRESENCIAL";"PRESENCIAL";"PRESENCIAL"}, MATCH(CONCATENATE(E1269, ".", F1269),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70" spans="1:42" x14ac:dyDescent="0.25">
      <c r="A1270" s="1" t="s">
        <v>27</v>
      </c>
      <c r="B1270" s="1" t="s">
        <v>64</v>
      </c>
      <c r="C1270" s="1" t="s">
        <v>29</v>
      </c>
      <c r="D1270" s="1" t="s">
        <v>65</v>
      </c>
      <c r="E1270" s="1" t="s">
        <v>120</v>
      </c>
      <c r="F1270" s="1" t="s">
        <v>447</v>
      </c>
      <c r="G1270" s="1" t="s">
        <v>128</v>
      </c>
      <c r="H1270" s="1" t="s">
        <v>343</v>
      </c>
      <c r="I1270" s="1" t="s">
        <v>209</v>
      </c>
      <c r="J1270" s="1" t="s">
        <v>125</v>
      </c>
      <c r="K1270" s="1" t="s">
        <v>259</v>
      </c>
      <c r="L1270" s="1">
        <v>3070785</v>
      </c>
      <c r="M1270" s="1" t="s">
        <v>1426</v>
      </c>
      <c r="N1270" s="5">
        <f>DATE(2023,7,18)</f>
        <v>45125</v>
      </c>
      <c r="O1270" s="5">
        <f>DATE(2025,12,24)</f>
        <v>46015</v>
      </c>
      <c r="P1270" s="5">
        <f t="shared" si="449"/>
        <v>47110</v>
      </c>
      <c r="Q1270" s="1">
        <v>1080</v>
      </c>
      <c r="R1270" s="1">
        <v>1000</v>
      </c>
      <c r="S1270" s="1">
        <f t="shared" si="450"/>
        <v>1000</v>
      </c>
      <c r="T1270" s="1">
        <v>1.5</v>
      </c>
      <c r="U1270" s="1" t="str">
        <f t="shared" si="451"/>
        <v>SIM</v>
      </c>
      <c r="V1270" s="1">
        <f t="shared" si="452"/>
        <v>891</v>
      </c>
      <c r="W1270" s="4">
        <f t="shared" si="453"/>
        <v>1.122334455667789</v>
      </c>
      <c r="X1270" s="4">
        <f t="shared" si="454"/>
        <v>409.65207631874296</v>
      </c>
      <c r="Y1270" s="4">
        <f t="shared" si="455"/>
        <v>0.5120650953984287</v>
      </c>
      <c r="AB1270" s="5">
        <f t="shared" si="456"/>
        <v>45292</v>
      </c>
      <c r="AC1270" s="5">
        <f t="shared" si="457"/>
        <v>45657</v>
      </c>
      <c r="AD1270" s="1">
        <v>33</v>
      </c>
      <c r="AE1270" s="1">
        <f t="shared" si="458"/>
        <v>366</v>
      </c>
      <c r="AF1270" s="1">
        <f t="shared" si="459"/>
        <v>0</v>
      </c>
      <c r="AG1270" s="1">
        <f t="shared" si="460"/>
        <v>0</v>
      </c>
      <c r="AH1270" s="1">
        <f t="shared" si="461"/>
        <v>0</v>
      </c>
      <c r="AI1270" s="1">
        <f t="shared" si="462"/>
        <v>0</v>
      </c>
      <c r="AJ1270" s="3">
        <f t="shared" si="463"/>
        <v>1</v>
      </c>
      <c r="AK1270" s="3">
        <f t="shared" si="464"/>
        <v>0.5120650953984287</v>
      </c>
      <c r="AL1270" s="3">
        <f t="shared" si="465"/>
        <v>16.898148148148149</v>
      </c>
      <c r="AM1270" s="3">
        <f t="shared" si="466"/>
        <v>25.347222222222221</v>
      </c>
      <c r="AN1270" s="3">
        <f t="shared" si="467"/>
        <v>0</v>
      </c>
      <c r="AO1270" s="3">
        <f t="shared" si="468"/>
        <v>25.347222222222221</v>
      </c>
      <c r="AP1270" s="1" t="str">
        <f>INDEX({"EAD";"EAD";"EAD";"EAD MOOC";"EAD";"EAD";"EAD FP";"EAD";"PRESENCIAL";"PRESENCIAL";"PRESENCIAL";"PRESENCIAL"}, MATCH(CONCATENATE(E1270, ".", F1270),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71" spans="1:42" x14ac:dyDescent="0.25">
      <c r="A1271" s="1" t="s">
        <v>27</v>
      </c>
      <c r="B1271" s="1" t="s">
        <v>64</v>
      </c>
      <c r="C1271" s="1" t="s">
        <v>29</v>
      </c>
      <c r="D1271" s="1" t="s">
        <v>65</v>
      </c>
      <c r="E1271" s="1" t="s">
        <v>120</v>
      </c>
      <c r="F1271" s="1" t="s">
        <v>447</v>
      </c>
      <c r="G1271" s="1" t="s">
        <v>128</v>
      </c>
      <c r="H1271" s="1" t="s">
        <v>1414</v>
      </c>
      <c r="I1271" s="1" t="s">
        <v>124</v>
      </c>
      <c r="J1271" s="1" t="s">
        <v>125</v>
      </c>
      <c r="K1271" s="1" t="s">
        <v>259</v>
      </c>
      <c r="L1271" s="1">
        <v>3070788</v>
      </c>
      <c r="M1271" s="1" t="s">
        <v>1427</v>
      </c>
      <c r="N1271" s="5">
        <f>DATE(2023,7,18)</f>
        <v>45125</v>
      </c>
      <c r="O1271" s="5">
        <f>DATE(2025,12,23)</f>
        <v>46014</v>
      </c>
      <c r="P1271" s="5">
        <f t="shared" si="449"/>
        <v>47109</v>
      </c>
      <c r="Q1271" s="1">
        <v>1080</v>
      </c>
      <c r="R1271" s="1">
        <v>800</v>
      </c>
      <c r="S1271" s="1">
        <f t="shared" si="450"/>
        <v>800</v>
      </c>
      <c r="T1271" s="1">
        <v>1</v>
      </c>
      <c r="U1271" s="1" t="str">
        <f t="shared" si="451"/>
        <v>SIM</v>
      </c>
      <c r="V1271" s="1">
        <f t="shared" si="452"/>
        <v>890</v>
      </c>
      <c r="W1271" s="4">
        <f t="shared" si="453"/>
        <v>0.898876404494382</v>
      </c>
      <c r="X1271" s="4">
        <f t="shared" si="454"/>
        <v>328.08988764044943</v>
      </c>
      <c r="Y1271" s="4">
        <f t="shared" si="455"/>
        <v>0.4101123595505618</v>
      </c>
      <c r="AB1271" s="5">
        <f t="shared" si="456"/>
        <v>45292</v>
      </c>
      <c r="AC1271" s="5">
        <f t="shared" si="457"/>
        <v>45657</v>
      </c>
      <c r="AD1271" s="1">
        <v>32</v>
      </c>
      <c r="AE1271" s="1">
        <f t="shared" si="458"/>
        <v>366</v>
      </c>
      <c r="AF1271" s="1">
        <f t="shared" si="459"/>
        <v>0</v>
      </c>
      <c r="AG1271" s="1">
        <f t="shared" si="460"/>
        <v>0</v>
      </c>
      <c r="AH1271" s="1">
        <f t="shared" si="461"/>
        <v>0</v>
      </c>
      <c r="AI1271" s="1">
        <f t="shared" si="462"/>
        <v>0</v>
      </c>
      <c r="AJ1271" s="3">
        <f t="shared" si="463"/>
        <v>1</v>
      </c>
      <c r="AK1271" s="3">
        <f t="shared" si="464"/>
        <v>0.4101123595505618</v>
      </c>
      <c r="AL1271" s="3">
        <f t="shared" si="465"/>
        <v>13.123595505617978</v>
      </c>
      <c r="AM1271" s="3">
        <f t="shared" si="466"/>
        <v>13.123595505617978</v>
      </c>
      <c r="AN1271" s="3">
        <f t="shared" si="467"/>
        <v>0</v>
      </c>
      <c r="AO1271" s="3">
        <f t="shared" si="468"/>
        <v>13.123595505617978</v>
      </c>
      <c r="AP1271" s="1" t="str">
        <f>INDEX({"EAD";"EAD";"EAD";"EAD MOOC";"EAD";"EAD";"EAD FP";"EAD";"PRESENCIAL";"PRESENCIAL";"PRESENCIAL";"PRESENCIAL"}, MATCH(CONCATENATE(E1271, ".", F1271),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72" spans="1:42" x14ac:dyDescent="0.25">
      <c r="A1272" s="1" t="s">
        <v>27</v>
      </c>
      <c r="B1272" s="1" t="s">
        <v>64</v>
      </c>
      <c r="C1272" s="1" t="s">
        <v>29</v>
      </c>
      <c r="D1272" s="1" t="s">
        <v>65</v>
      </c>
      <c r="E1272" s="1" t="s">
        <v>120</v>
      </c>
      <c r="F1272" s="1" t="s">
        <v>21</v>
      </c>
      <c r="G1272" s="1" t="s">
        <v>128</v>
      </c>
      <c r="H1272" s="1" t="s">
        <v>343</v>
      </c>
      <c r="I1272" s="1" t="s">
        <v>209</v>
      </c>
      <c r="J1272" s="1" t="s">
        <v>125</v>
      </c>
      <c r="K1272" s="1" t="s">
        <v>130</v>
      </c>
      <c r="L1272" s="1">
        <v>3075723</v>
      </c>
      <c r="M1272" s="1" t="s">
        <v>1428</v>
      </c>
      <c r="N1272" s="5">
        <f>DATE(2024,2,5)</f>
        <v>45327</v>
      </c>
      <c r="O1272" s="5">
        <f>DATE(2026,12,22)</f>
        <v>46378</v>
      </c>
      <c r="P1272" s="5">
        <f t="shared" si="449"/>
        <v>47473</v>
      </c>
      <c r="Q1272" s="1">
        <v>3536</v>
      </c>
      <c r="R1272" s="1">
        <v>1000</v>
      </c>
      <c r="S1272" s="1">
        <f t="shared" si="450"/>
        <v>3100</v>
      </c>
      <c r="T1272" s="1">
        <v>1.5</v>
      </c>
      <c r="U1272" s="1" t="str">
        <f t="shared" si="451"/>
        <v>SIM</v>
      </c>
      <c r="V1272" s="1">
        <f t="shared" si="452"/>
        <v>1052</v>
      </c>
      <c r="W1272" s="4">
        <f t="shared" si="453"/>
        <v>2.9467680608365021</v>
      </c>
      <c r="X1272" s="4">
        <f t="shared" si="454"/>
        <v>1075.5703422053232</v>
      </c>
      <c r="Y1272" s="4">
        <f t="shared" si="455"/>
        <v>1.344462927756654</v>
      </c>
      <c r="AB1272" s="5">
        <f t="shared" si="456"/>
        <v>45292</v>
      </c>
      <c r="AC1272" s="5">
        <f t="shared" si="457"/>
        <v>45657</v>
      </c>
      <c r="AD1272" s="1">
        <v>71</v>
      </c>
      <c r="AE1272" s="1">
        <f t="shared" si="458"/>
        <v>0</v>
      </c>
      <c r="AF1272" s="1">
        <f t="shared" si="459"/>
        <v>331</v>
      </c>
      <c r="AG1272" s="1">
        <f t="shared" si="460"/>
        <v>0</v>
      </c>
      <c r="AH1272" s="1">
        <f t="shared" si="461"/>
        <v>0</v>
      </c>
      <c r="AI1272" s="1">
        <f t="shared" si="462"/>
        <v>0</v>
      </c>
      <c r="AJ1272" s="3">
        <f t="shared" si="463"/>
        <v>0.90437158469945356</v>
      </c>
      <c r="AK1272" s="3">
        <f t="shared" si="464"/>
        <v>1.2158940685449522</v>
      </c>
      <c r="AL1272" s="3">
        <f t="shared" si="465"/>
        <v>86.328478866691611</v>
      </c>
      <c r="AM1272" s="3">
        <f t="shared" si="466"/>
        <v>129.49271830003741</v>
      </c>
      <c r="AN1272" s="3">
        <f t="shared" si="467"/>
        <v>0</v>
      </c>
      <c r="AO1272" s="3">
        <f t="shared" si="468"/>
        <v>129.49271830003741</v>
      </c>
      <c r="AP1272" s="1" t="str">
        <f>INDEX({"EAD";"EAD";"EAD";"EAD MOOC";"EAD";"EAD";"EAD FP";"EAD";"PRESENCIAL";"PRESENCIAL";"PRESENCIAL";"PRESENCIAL"}, MATCH(CONCATENATE(E1272, ".", F1272),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73" spans="1:42" x14ac:dyDescent="0.25">
      <c r="A1273" s="1" t="s">
        <v>27</v>
      </c>
      <c r="B1273" s="1" t="s">
        <v>64</v>
      </c>
      <c r="C1273" s="1" t="s">
        <v>29</v>
      </c>
      <c r="D1273" s="1" t="s">
        <v>65</v>
      </c>
      <c r="E1273" s="1" t="s">
        <v>120</v>
      </c>
      <c r="F1273" s="1" t="s">
        <v>21</v>
      </c>
      <c r="G1273" s="1" t="s">
        <v>128</v>
      </c>
      <c r="H1273" s="1" t="s">
        <v>1414</v>
      </c>
      <c r="I1273" s="1" t="s">
        <v>124</v>
      </c>
      <c r="J1273" s="1" t="s">
        <v>125</v>
      </c>
      <c r="K1273" s="1" t="s">
        <v>130</v>
      </c>
      <c r="L1273" s="1">
        <v>3075727</v>
      </c>
      <c r="M1273" s="1" t="s">
        <v>1429</v>
      </c>
      <c r="N1273" s="5">
        <f>DATE(2024,2,5)</f>
        <v>45327</v>
      </c>
      <c r="O1273" s="5">
        <f>DATE(2026,12,22)</f>
        <v>46378</v>
      </c>
      <c r="P1273" s="5">
        <f t="shared" si="449"/>
        <v>47473</v>
      </c>
      <c r="Q1273" s="1">
        <v>3332</v>
      </c>
      <c r="R1273" s="1">
        <v>800</v>
      </c>
      <c r="S1273" s="1">
        <f t="shared" si="450"/>
        <v>3000</v>
      </c>
      <c r="T1273" s="1">
        <v>1.5</v>
      </c>
      <c r="U1273" s="1" t="str">
        <f t="shared" si="451"/>
        <v>SIM</v>
      </c>
      <c r="V1273" s="1">
        <f t="shared" si="452"/>
        <v>1052</v>
      </c>
      <c r="W1273" s="4">
        <f t="shared" si="453"/>
        <v>2.8517110266159698</v>
      </c>
      <c r="X1273" s="4">
        <f t="shared" si="454"/>
        <v>1040.874524714829</v>
      </c>
      <c r="Y1273" s="4">
        <f t="shared" si="455"/>
        <v>1.3010931558935364</v>
      </c>
      <c r="AB1273" s="5">
        <f t="shared" si="456"/>
        <v>45292</v>
      </c>
      <c r="AC1273" s="5">
        <f t="shared" si="457"/>
        <v>45657</v>
      </c>
      <c r="AD1273" s="1">
        <v>35</v>
      </c>
      <c r="AE1273" s="1">
        <f t="shared" si="458"/>
        <v>0</v>
      </c>
      <c r="AF1273" s="1">
        <f t="shared" si="459"/>
        <v>331</v>
      </c>
      <c r="AG1273" s="1">
        <f t="shared" si="460"/>
        <v>0</v>
      </c>
      <c r="AH1273" s="1">
        <f t="shared" si="461"/>
        <v>0</v>
      </c>
      <c r="AI1273" s="1">
        <f t="shared" si="462"/>
        <v>0</v>
      </c>
      <c r="AJ1273" s="3">
        <f t="shared" si="463"/>
        <v>0.90437158469945356</v>
      </c>
      <c r="AK1273" s="3">
        <f t="shared" si="464"/>
        <v>1.1766716792370506</v>
      </c>
      <c r="AL1273" s="3">
        <f t="shared" si="465"/>
        <v>41.183508773296772</v>
      </c>
      <c r="AM1273" s="3">
        <f t="shared" si="466"/>
        <v>61.775263159945155</v>
      </c>
      <c r="AN1273" s="3">
        <f t="shared" si="467"/>
        <v>0</v>
      </c>
      <c r="AO1273" s="3">
        <f t="shared" si="468"/>
        <v>61.775263159945155</v>
      </c>
      <c r="AP1273" s="1" t="str">
        <f>INDEX({"EAD";"EAD";"EAD";"EAD MOOC";"EAD";"EAD";"EAD FP";"EAD";"PRESENCIAL";"PRESENCIAL";"PRESENCIAL";"PRESENCIAL"}, MATCH(CONCATENATE(E1273, ".", F1273),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74" spans="1:42" x14ac:dyDescent="0.25">
      <c r="A1274" s="1" t="s">
        <v>27</v>
      </c>
      <c r="B1274" s="1" t="s">
        <v>64</v>
      </c>
      <c r="C1274" s="1" t="s">
        <v>29</v>
      </c>
      <c r="D1274" s="1" t="s">
        <v>65</v>
      </c>
      <c r="E1274" s="1" t="s">
        <v>120</v>
      </c>
      <c r="F1274" s="1" t="s">
        <v>21</v>
      </c>
      <c r="G1274" s="1" t="s">
        <v>140</v>
      </c>
      <c r="H1274" s="1" t="s">
        <v>141</v>
      </c>
      <c r="I1274" s="1" t="s">
        <v>124</v>
      </c>
      <c r="J1274" s="1" t="s">
        <v>125</v>
      </c>
      <c r="K1274" s="1" t="s">
        <v>109</v>
      </c>
      <c r="L1274" s="1">
        <v>3075730</v>
      </c>
      <c r="M1274" s="1" t="s">
        <v>1430</v>
      </c>
      <c r="N1274" s="5">
        <f>DATE(2024,2,5)</f>
        <v>45327</v>
      </c>
      <c r="O1274" s="5">
        <f>DATE(2026,7,17)</f>
        <v>46220</v>
      </c>
      <c r="P1274" s="5">
        <f t="shared" si="449"/>
        <v>47315</v>
      </c>
      <c r="Q1274" s="1">
        <v>1600</v>
      </c>
      <c r="R1274" s="1">
        <v>1600</v>
      </c>
      <c r="S1274" s="1">
        <f t="shared" si="450"/>
        <v>1600</v>
      </c>
      <c r="T1274" s="1">
        <v>1</v>
      </c>
      <c r="U1274" s="1" t="str">
        <f t="shared" si="451"/>
        <v>SIM</v>
      </c>
      <c r="V1274" s="1">
        <f t="shared" si="452"/>
        <v>894</v>
      </c>
      <c r="W1274" s="4">
        <f t="shared" si="453"/>
        <v>1.7897091722595078</v>
      </c>
      <c r="X1274" s="4">
        <f t="shared" si="454"/>
        <v>653.24384787472036</v>
      </c>
      <c r="Y1274" s="4">
        <f t="shared" si="455"/>
        <v>0.81655480984340045</v>
      </c>
      <c r="AB1274" s="5">
        <f t="shared" si="456"/>
        <v>45292</v>
      </c>
      <c r="AC1274" s="5">
        <f t="shared" si="457"/>
        <v>45657</v>
      </c>
      <c r="AD1274" s="1">
        <v>35</v>
      </c>
      <c r="AE1274" s="1">
        <f t="shared" si="458"/>
        <v>0</v>
      </c>
      <c r="AF1274" s="1">
        <f t="shared" si="459"/>
        <v>331</v>
      </c>
      <c r="AG1274" s="1">
        <f t="shared" si="460"/>
        <v>0</v>
      </c>
      <c r="AH1274" s="1">
        <f t="shared" si="461"/>
        <v>0</v>
      </c>
      <c r="AI1274" s="1">
        <f t="shared" si="462"/>
        <v>0</v>
      </c>
      <c r="AJ1274" s="3">
        <f t="shared" si="463"/>
        <v>0.90437158469945356</v>
      </c>
      <c r="AK1274" s="3">
        <f t="shared" si="464"/>
        <v>0.73846896737203704</v>
      </c>
      <c r="AL1274" s="3">
        <f t="shared" si="465"/>
        <v>25.846413858021297</v>
      </c>
      <c r="AM1274" s="3">
        <f t="shared" si="466"/>
        <v>25.846413858021297</v>
      </c>
      <c r="AN1274" s="3">
        <f t="shared" si="467"/>
        <v>0</v>
      </c>
      <c r="AO1274" s="3">
        <f t="shared" si="468"/>
        <v>25.846413858021297</v>
      </c>
      <c r="AP1274" s="1" t="str">
        <f>INDEX({"EAD";"EAD";"EAD";"EAD MOOC";"EAD";"EAD";"EAD FP";"EAD";"PRESENCIAL";"PRESENCIAL";"PRESENCIAL";"PRESENCIAL"}, MATCH(CONCATENATE(E1274, ".", F1274),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75" spans="1:42" x14ac:dyDescent="0.25">
      <c r="A1275" s="1" t="s">
        <v>27</v>
      </c>
      <c r="B1275" s="1" t="s">
        <v>64</v>
      </c>
      <c r="C1275" s="1" t="s">
        <v>29</v>
      </c>
      <c r="D1275" s="1" t="s">
        <v>65</v>
      </c>
      <c r="E1275" s="1" t="s">
        <v>120</v>
      </c>
      <c r="F1275" s="1" t="s">
        <v>447</v>
      </c>
      <c r="G1275" s="1" t="s">
        <v>128</v>
      </c>
      <c r="H1275" s="1" t="s">
        <v>343</v>
      </c>
      <c r="I1275" s="1" t="s">
        <v>209</v>
      </c>
      <c r="J1275" s="1" t="s">
        <v>125</v>
      </c>
      <c r="K1275" s="1" t="s">
        <v>259</v>
      </c>
      <c r="L1275" s="1">
        <v>3125491</v>
      </c>
      <c r="M1275" s="1" t="s">
        <v>1431</v>
      </c>
      <c r="N1275" s="5">
        <f>DATE(2024,5,5)</f>
        <v>45417</v>
      </c>
      <c r="O1275" s="5">
        <f>DATE(2026,12,22)</f>
        <v>46378</v>
      </c>
      <c r="P1275" s="5">
        <f t="shared" si="449"/>
        <v>47473</v>
      </c>
      <c r="Q1275" s="1">
        <v>1080</v>
      </c>
      <c r="R1275" s="1">
        <v>1000</v>
      </c>
      <c r="S1275" s="1">
        <f t="shared" si="450"/>
        <v>1000</v>
      </c>
      <c r="T1275" s="1">
        <v>1.5</v>
      </c>
      <c r="U1275" s="1" t="str">
        <f t="shared" si="451"/>
        <v>SIM</v>
      </c>
      <c r="V1275" s="1">
        <f t="shared" si="452"/>
        <v>962</v>
      </c>
      <c r="W1275" s="4">
        <f t="shared" si="453"/>
        <v>1.0395010395010396</v>
      </c>
      <c r="X1275" s="4">
        <f t="shared" si="454"/>
        <v>379.41787941787942</v>
      </c>
      <c r="Y1275" s="4">
        <f t="shared" si="455"/>
        <v>0.47427234927234929</v>
      </c>
      <c r="AB1275" s="5">
        <f t="shared" si="456"/>
        <v>45292</v>
      </c>
      <c r="AC1275" s="5">
        <f t="shared" si="457"/>
        <v>45657</v>
      </c>
      <c r="AD1275" s="1">
        <v>23</v>
      </c>
      <c r="AE1275" s="1">
        <f t="shared" si="458"/>
        <v>0</v>
      </c>
      <c r="AF1275" s="1">
        <f t="shared" si="459"/>
        <v>241</v>
      </c>
      <c r="AG1275" s="1">
        <f t="shared" si="460"/>
        <v>0</v>
      </c>
      <c r="AH1275" s="1">
        <f t="shared" si="461"/>
        <v>0</v>
      </c>
      <c r="AI1275" s="1">
        <f t="shared" si="462"/>
        <v>0</v>
      </c>
      <c r="AJ1275" s="3">
        <f t="shared" si="463"/>
        <v>0.65846994535519121</v>
      </c>
      <c r="AK1275" s="3">
        <f t="shared" si="464"/>
        <v>0.312294087908842</v>
      </c>
      <c r="AL1275" s="3">
        <f t="shared" si="465"/>
        <v>7.1827640219033659</v>
      </c>
      <c r="AM1275" s="3">
        <f t="shared" si="466"/>
        <v>10.774146032855048</v>
      </c>
      <c r="AN1275" s="3">
        <f t="shared" si="467"/>
        <v>0</v>
      </c>
      <c r="AO1275" s="3">
        <f t="shared" si="468"/>
        <v>10.774146032855048</v>
      </c>
      <c r="AP1275" s="1" t="str">
        <f>INDEX({"EAD";"EAD";"EAD";"EAD MOOC";"EAD";"EAD";"EAD FP";"EAD";"PRESENCIAL";"PRESENCIAL";"PRESENCIAL";"PRESENCIAL"}, MATCH(CONCATENATE(E1275, ".", F1275),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76" spans="1:42" x14ac:dyDescent="0.25">
      <c r="A1276" s="1" t="s">
        <v>27</v>
      </c>
      <c r="B1276" s="1" t="s">
        <v>66</v>
      </c>
      <c r="C1276" s="1" t="s">
        <v>29</v>
      </c>
      <c r="D1276" s="1" t="s">
        <v>67</v>
      </c>
      <c r="E1276" s="1" t="s">
        <v>120</v>
      </c>
      <c r="F1276" s="1" t="s">
        <v>21</v>
      </c>
      <c r="G1276" s="1" t="s">
        <v>140</v>
      </c>
      <c r="H1276" s="1" t="s">
        <v>211</v>
      </c>
      <c r="I1276" s="1" t="s">
        <v>124</v>
      </c>
      <c r="J1276" s="1" t="s">
        <v>125</v>
      </c>
      <c r="K1276" s="1" t="s">
        <v>109</v>
      </c>
      <c r="L1276" s="1">
        <v>2092252</v>
      </c>
      <c r="M1276" s="1" t="s">
        <v>1432</v>
      </c>
      <c r="N1276" s="5">
        <f>DATE(2016,8,25)</f>
        <v>42607</v>
      </c>
      <c r="O1276" s="5">
        <f>DATE(2019,7,19)</f>
        <v>43665</v>
      </c>
      <c r="P1276" s="5">
        <f t="shared" si="449"/>
        <v>44760</v>
      </c>
      <c r="Q1276" s="1">
        <v>2033</v>
      </c>
      <c r="R1276" s="1">
        <v>1600</v>
      </c>
      <c r="S1276" s="1">
        <f t="shared" si="450"/>
        <v>1600</v>
      </c>
      <c r="T1276" s="1">
        <v>1</v>
      </c>
      <c r="U1276" s="1" t="str">
        <f t="shared" si="451"/>
        <v>NÃO</v>
      </c>
      <c r="V1276" s="1">
        <f t="shared" si="452"/>
        <v>1059</v>
      </c>
      <c r="W1276" s="4">
        <f t="shared" si="453"/>
        <v>1.5108593012275733</v>
      </c>
      <c r="X1276" s="4">
        <f t="shared" si="454"/>
        <v>551.46364494806426</v>
      </c>
      <c r="Y1276" s="4">
        <f t="shared" si="455"/>
        <v>0.68932955618508029</v>
      </c>
      <c r="AB1276" s="5">
        <f t="shared" si="456"/>
        <v>45292</v>
      </c>
      <c r="AC1276" s="5">
        <f t="shared" si="457"/>
        <v>45657</v>
      </c>
      <c r="AD1276" s="1">
        <v>2</v>
      </c>
      <c r="AE1276" s="1">
        <f t="shared" si="458"/>
        <v>0</v>
      </c>
      <c r="AF1276" s="1">
        <f t="shared" si="459"/>
        <v>0</v>
      </c>
      <c r="AG1276" s="1">
        <f t="shared" si="460"/>
        <v>0</v>
      </c>
      <c r="AH1276" s="1">
        <f t="shared" si="461"/>
        <v>0</v>
      </c>
      <c r="AI1276" s="1">
        <f t="shared" si="462"/>
        <v>183</v>
      </c>
      <c r="AJ1276" s="3">
        <f t="shared" si="463"/>
        <v>0.5</v>
      </c>
      <c r="AK1276" s="3">
        <f t="shared" si="464"/>
        <v>0.34466477809254015</v>
      </c>
      <c r="AL1276" s="3">
        <f t="shared" si="465"/>
        <v>0</v>
      </c>
      <c r="AM1276" s="3">
        <f t="shared" si="466"/>
        <v>0</v>
      </c>
      <c r="AN1276" s="3">
        <f t="shared" si="467"/>
        <v>0</v>
      </c>
      <c r="AO1276" s="3">
        <f t="shared" si="468"/>
        <v>0</v>
      </c>
      <c r="AP1276" s="1" t="str">
        <f>INDEX({"EAD";"EAD";"EAD";"EAD MOOC";"EAD";"EAD";"EAD FP";"EAD";"PRESENCIAL";"PRESENCIAL";"PRESENCIAL";"PRESENCIAL"}, MATCH(CONCATENATE(E1276, ".", F1276),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77" spans="1:42" x14ac:dyDescent="0.25">
      <c r="A1277" s="1" t="s">
        <v>27</v>
      </c>
      <c r="B1277" s="1" t="s">
        <v>66</v>
      </c>
      <c r="C1277" s="1" t="s">
        <v>29</v>
      </c>
      <c r="D1277" s="1" t="s">
        <v>67</v>
      </c>
      <c r="E1277" s="1" t="s">
        <v>120</v>
      </c>
      <c r="F1277" s="1" t="s">
        <v>21</v>
      </c>
      <c r="G1277" s="1" t="s">
        <v>140</v>
      </c>
      <c r="H1277" s="1" t="s">
        <v>211</v>
      </c>
      <c r="I1277" s="1" t="s">
        <v>124</v>
      </c>
      <c r="J1277" s="1" t="s">
        <v>125</v>
      </c>
      <c r="K1277" s="1" t="s">
        <v>109</v>
      </c>
      <c r="L1277" s="1">
        <v>2133996</v>
      </c>
      <c r="M1277" s="1" t="s">
        <v>1433</v>
      </c>
      <c r="N1277" s="5">
        <f>DATE(2017,2,8)</f>
        <v>42774</v>
      </c>
      <c r="O1277" s="5">
        <f>DATE(2019,12,20)</f>
        <v>43819</v>
      </c>
      <c r="P1277" s="5">
        <f t="shared" si="449"/>
        <v>44914</v>
      </c>
      <c r="Q1277" s="1">
        <v>2058</v>
      </c>
      <c r="R1277" s="1">
        <v>1600</v>
      </c>
      <c r="S1277" s="1">
        <f t="shared" si="450"/>
        <v>1600</v>
      </c>
      <c r="T1277" s="1">
        <v>1</v>
      </c>
      <c r="U1277" s="1" t="str">
        <f t="shared" si="451"/>
        <v>NÃO</v>
      </c>
      <c r="V1277" s="1">
        <f t="shared" si="452"/>
        <v>1046</v>
      </c>
      <c r="W1277" s="4">
        <f t="shared" si="453"/>
        <v>1.5296367112810707</v>
      </c>
      <c r="X1277" s="4">
        <f t="shared" si="454"/>
        <v>558.31739961759081</v>
      </c>
      <c r="Y1277" s="4">
        <f t="shared" si="455"/>
        <v>0.69789674952198855</v>
      </c>
      <c r="AB1277" s="5">
        <f t="shared" si="456"/>
        <v>45292</v>
      </c>
      <c r="AC1277" s="5">
        <f t="shared" si="457"/>
        <v>45657</v>
      </c>
      <c r="AE1277" s="1">
        <f t="shared" si="458"/>
        <v>0</v>
      </c>
      <c r="AF1277" s="1">
        <f t="shared" si="459"/>
        <v>0</v>
      </c>
      <c r="AG1277" s="1">
        <f t="shared" si="460"/>
        <v>0</v>
      </c>
      <c r="AH1277" s="1">
        <f t="shared" si="461"/>
        <v>0</v>
      </c>
      <c r="AI1277" s="1">
        <f t="shared" si="462"/>
        <v>183</v>
      </c>
      <c r="AJ1277" s="3">
        <f t="shared" si="463"/>
        <v>0.5</v>
      </c>
      <c r="AK1277" s="3">
        <f t="shared" si="464"/>
        <v>0.34894837476099427</v>
      </c>
      <c r="AL1277" s="3">
        <f t="shared" si="465"/>
        <v>0</v>
      </c>
      <c r="AM1277" s="3">
        <f t="shared" si="466"/>
        <v>0</v>
      </c>
      <c r="AN1277" s="3">
        <f t="shared" si="467"/>
        <v>0</v>
      </c>
      <c r="AO1277" s="3">
        <f t="shared" si="468"/>
        <v>0</v>
      </c>
      <c r="AP1277" s="1" t="str">
        <f>INDEX({"EAD";"EAD";"EAD";"EAD MOOC";"EAD";"EAD";"EAD FP";"EAD";"PRESENCIAL";"PRESENCIAL";"PRESENCIAL";"PRESENCIAL"}, MATCH(CONCATENATE(E1277, ".", F1277),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78" spans="1:42" x14ac:dyDescent="0.25">
      <c r="A1278" s="1" t="s">
        <v>27</v>
      </c>
      <c r="B1278" s="1" t="s">
        <v>66</v>
      </c>
      <c r="C1278" s="1" t="s">
        <v>29</v>
      </c>
      <c r="D1278" s="1" t="s">
        <v>67</v>
      </c>
      <c r="E1278" s="1" t="s">
        <v>120</v>
      </c>
      <c r="F1278" s="1" t="s">
        <v>21</v>
      </c>
      <c r="G1278" s="1" t="s">
        <v>140</v>
      </c>
      <c r="H1278" s="1" t="s">
        <v>211</v>
      </c>
      <c r="I1278" s="1" t="s">
        <v>124</v>
      </c>
      <c r="J1278" s="1" t="s">
        <v>125</v>
      </c>
      <c r="K1278" s="1" t="s">
        <v>109</v>
      </c>
      <c r="L1278" s="1">
        <v>2183751</v>
      </c>
      <c r="M1278" s="1" t="s">
        <v>1434</v>
      </c>
      <c r="N1278" s="5">
        <f>DATE(2017,7,24)</f>
        <v>42940</v>
      </c>
      <c r="O1278" s="5">
        <f>DATE(2020,7,24)</f>
        <v>44036</v>
      </c>
      <c r="P1278" s="5">
        <f t="shared" si="449"/>
        <v>45131</v>
      </c>
      <c r="Q1278" s="1">
        <v>2058</v>
      </c>
      <c r="R1278" s="1">
        <v>1600</v>
      </c>
      <c r="S1278" s="1">
        <f t="shared" si="450"/>
        <v>1600</v>
      </c>
      <c r="T1278" s="1">
        <v>1</v>
      </c>
      <c r="U1278" s="1" t="str">
        <f t="shared" si="451"/>
        <v>NÃO</v>
      </c>
      <c r="V1278" s="1">
        <f t="shared" si="452"/>
        <v>1097</v>
      </c>
      <c r="W1278" s="4">
        <f t="shared" si="453"/>
        <v>1.4585232452142205</v>
      </c>
      <c r="X1278" s="4">
        <f t="shared" si="454"/>
        <v>532.36098450319048</v>
      </c>
      <c r="Y1278" s="4">
        <f t="shared" si="455"/>
        <v>0.66545123062898814</v>
      </c>
      <c r="AB1278" s="5">
        <f t="shared" si="456"/>
        <v>45292</v>
      </c>
      <c r="AC1278" s="5">
        <f t="shared" si="457"/>
        <v>45657</v>
      </c>
      <c r="AD1278" s="1">
        <v>3</v>
      </c>
      <c r="AE1278" s="1">
        <f t="shared" si="458"/>
        <v>0</v>
      </c>
      <c r="AF1278" s="1">
        <f t="shared" si="459"/>
        <v>0</v>
      </c>
      <c r="AG1278" s="1">
        <f t="shared" si="460"/>
        <v>0</v>
      </c>
      <c r="AH1278" s="1">
        <f t="shared" si="461"/>
        <v>0</v>
      </c>
      <c r="AI1278" s="1">
        <f t="shared" si="462"/>
        <v>183</v>
      </c>
      <c r="AJ1278" s="3">
        <f t="shared" si="463"/>
        <v>0.5</v>
      </c>
      <c r="AK1278" s="3">
        <f t="shared" si="464"/>
        <v>0.33272561531449407</v>
      </c>
      <c r="AL1278" s="3">
        <f t="shared" si="465"/>
        <v>0</v>
      </c>
      <c r="AM1278" s="3">
        <f t="shared" si="466"/>
        <v>0</v>
      </c>
      <c r="AN1278" s="3">
        <f t="shared" si="467"/>
        <v>0</v>
      </c>
      <c r="AO1278" s="3">
        <f t="shared" si="468"/>
        <v>0</v>
      </c>
      <c r="AP1278" s="1" t="str">
        <f>INDEX({"EAD";"EAD";"EAD";"EAD MOOC";"EAD";"EAD";"EAD FP";"EAD";"PRESENCIAL";"PRESENCIAL";"PRESENCIAL";"PRESENCIAL"}, MATCH(CONCATENATE(E1278, ".", F1278),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79" spans="1:42" x14ac:dyDescent="0.25">
      <c r="A1279" s="1" t="s">
        <v>27</v>
      </c>
      <c r="B1279" s="1" t="s">
        <v>66</v>
      </c>
      <c r="C1279" s="1" t="s">
        <v>29</v>
      </c>
      <c r="D1279" s="1" t="s">
        <v>67</v>
      </c>
      <c r="E1279" s="1" t="s">
        <v>120</v>
      </c>
      <c r="F1279" s="1" t="s">
        <v>21</v>
      </c>
      <c r="G1279" s="1" t="s">
        <v>140</v>
      </c>
      <c r="H1279" s="1" t="s">
        <v>211</v>
      </c>
      <c r="I1279" s="1" t="s">
        <v>124</v>
      </c>
      <c r="J1279" s="1" t="s">
        <v>125</v>
      </c>
      <c r="K1279" s="1" t="s">
        <v>109</v>
      </c>
      <c r="L1279" s="1">
        <v>2479764</v>
      </c>
      <c r="M1279" s="1" t="s">
        <v>1435</v>
      </c>
      <c r="N1279" s="5">
        <f>DATE(2018,2,1)</f>
        <v>43132</v>
      </c>
      <c r="O1279" s="5">
        <f>DATE(2020,12,18)</f>
        <v>44183</v>
      </c>
      <c r="P1279" s="5">
        <f t="shared" si="449"/>
        <v>45278</v>
      </c>
      <c r="Q1279" s="1">
        <v>2033</v>
      </c>
      <c r="R1279" s="1">
        <v>1600</v>
      </c>
      <c r="S1279" s="1">
        <f t="shared" si="450"/>
        <v>1600</v>
      </c>
      <c r="T1279" s="1">
        <v>1</v>
      </c>
      <c r="U1279" s="1" t="str">
        <f t="shared" si="451"/>
        <v>NÃO</v>
      </c>
      <c r="V1279" s="1">
        <f t="shared" si="452"/>
        <v>1052</v>
      </c>
      <c r="W1279" s="4">
        <f t="shared" si="453"/>
        <v>1.520912547528517</v>
      </c>
      <c r="X1279" s="4">
        <f t="shared" si="454"/>
        <v>555.13307984790868</v>
      </c>
      <c r="Y1279" s="4">
        <f t="shared" si="455"/>
        <v>0.69391634980988581</v>
      </c>
      <c r="AB1279" s="5">
        <f t="shared" si="456"/>
        <v>45292</v>
      </c>
      <c r="AC1279" s="5">
        <f t="shared" si="457"/>
        <v>45657</v>
      </c>
      <c r="AD1279" s="1">
        <v>2</v>
      </c>
      <c r="AE1279" s="1">
        <f t="shared" si="458"/>
        <v>0</v>
      </c>
      <c r="AF1279" s="1">
        <f t="shared" si="459"/>
        <v>0</v>
      </c>
      <c r="AG1279" s="1">
        <f t="shared" si="460"/>
        <v>0</v>
      </c>
      <c r="AH1279" s="1">
        <f t="shared" si="461"/>
        <v>0</v>
      </c>
      <c r="AI1279" s="1">
        <f t="shared" si="462"/>
        <v>183</v>
      </c>
      <c r="AJ1279" s="3">
        <f t="shared" si="463"/>
        <v>0.5</v>
      </c>
      <c r="AK1279" s="3">
        <f t="shared" si="464"/>
        <v>0.34695817490494291</v>
      </c>
      <c r="AL1279" s="3">
        <f t="shared" si="465"/>
        <v>0</v>
      </c>
      <c r="AM1279" s="3">
        <f t="shared" si="466"/>
        <v>0</v>
      </c>
      <c r="AN1279" s="3">
        <f t="shared" si="467"/>
        <v>0</v>
      </c>
      <c r="AO1279" s="3">
        <f t="shared" si="468"/>
        <v>0</v>
      </c>
      <c r="AP1279" s="1" t="str">
        <f>INDEX({"EAD";"EAD";"EAD";"EAD MOOC";"EAD";"EAD";"EAD FP";"EAD";"PRESENCIAL";"PRESENCIAL";"PRESENCIAL";"PRESENCIAL"}, MATCH(CONCATENATE(E1279, ".", F1279),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80" spans="1:42" x14ac:dyDescent="0.25">
      <c r="A1280" s="1" t="s">
        <v>27</v>
      </c>
      <c r="B1280" s="1" t="s">
        <v>66</v>
      </c>
      <c r="C1280" s="1" t="s">
        <v>29</v>
      </c>
      <c r="D1280" s="1" t="s">
        <v>67</v>
      </c>
      <c r="E1280" s="1" t="s">
        <v>120</v>
      </c>
      <c r="F1280" s="1" t="s">
        <v>21</v>
      </c>
      <c r="G1280" s="1" t="s">
        <v>140</v>
      </c>
      <c r="H1280" s="1" t="s">
        <v>211</v>
      </c>
      <c r="I1280" s="1" t="s">
        <v>124</v>
      </c>
      <c r="J1280" s="1" t="s">
        <v>125</v>
      </c>
      <c r="K1280" s="1" t="s">
        <v>109</v>
      </c>
      <c r="L1280" s="1">
        <v>2522262</v>
      </c>
      <c r="M1280" s="1" t="s">
        <v>1436</v>
      </c>
      <c r="N1280" s="5">
        <f>DATE(2018,7,24)</f>
        <v>43305</v>
      </c>
      <c r="O1280" s="5">
        <f>DATE(2021,7,1)</f>
        <v>44378</v>
      </c>
      <c r="P1280" s="5">
        <f t="shared" si="449"/>
        <v>45473</v>
      </c>
      <c r="Q1280" s="1">
        <v>2058</v>
      </c>
      <c r="R1280" s="1">
        <v>1600</v>
      </c>
      <c r="S1280" s="1">
        <f t="shared" si="450"/>
        <v>1600</v>
      </c>
      <c r="T1280" s="1">
        <v>1</v>
      </c>
      <c r="U1280" s="1" t="str">
        <f t="shared" si="451"/>
        <v>SIM</v>
      </c>
      <c r="V1280" s="1">
        <f t="shared" si="452"/>
        <v>1074</v>
      </c>
      <c r="W1280" s="4">
        <f t="shared" si="453"/>
        <v>1.4897579143389199</v>
      </c>
      <c r="X1280" s="4">
        <f t="shared" si="454"/>
        <v>543.76163873370581</v>
      </c>
      <c r="Y1280" s="4">
        <f t="shared" si="455"/>
        <v>0.67970204841713222</v>
      </c>
      <c r="AB1280" s="5">
        <f t="shared" si="456"/>
        <v>45292</v>
      </c>
      <c r="AC1280" s="5">
        <f t="shared" si="457"/>
        <v>45657</v>
      </c>
      <c r="AD1280" s="1">
        <v>7</v>
      </c>
      <c r="AE1280" s="1">
        <f t="shared" si="458"/>
        <v>0</v>
      </c>
      <c r="AF1280" s="1">
        <f t="shared" si="459"/>
        <v>0</v>
      </c>
      <c r="AG1280" s="1">
        <f t="shared" si="460"/>
        <v>0</v>
      </c>
      <c r="AH1280" s="1">
        <f t="shared" si="461"/>
        <v>0</v>
      </c>
      <c r="AI1280" s="1">
        <f t="shared" si="462"/>
        <v>183</v>
      </c>
      <c r="AJ1280" s="3">
        <f t="shared" si="463"/>
        <v>0.5</v>
      </c>
      <c r="AK1280" s="3">
        <f t="shared" si="464"/>
        <v>0.33985102420856611</v>
      </c>
      <c r="AL1280" s="3">
        <f t="shared" si="465"/>
        <v>1.1894785847299814</v>
      </c>
      <c r="AM1280" s="3">
        <f t="shared" si="466"/>
        <v>1.1894785847299814</v>
      </c>
      <c r="AN1280" s="3">
        <f t="shared" si="467"/>
        <v>0</v>
      </c>
      <c r="AO1280" s="3">
        <f t="shared" si="468"/>
        <v>1.1894785847299814</v>
      </c>
      <c r="AP1280" s="1" t="str">
        <f>INDEX({"EAD";"EAD";"EAD";"EAD MOOC";"EAD";"EAD";"EAD FP";"EAD";"PRESENCIAL";"PRESENCIAL";"PRESENCIAL";"PRESENCIAL"}, MATCH(CONCATENATE(E1280, ".", F1280),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81" spans="1:42" x14ac:dyDescent="0.25">
      <c r="A1281" s="1" t="s">
        <v>27</v>
      </c>
      <c r="B1281" s="1" t="s">
        <v>66</v>
      </c>
      <c r="C1281" s="1" t="s">
        <v>29</v>
      </c>
      <c r="D1281" s="1" t="s">
        <v>67</v>
      </c>
      <c r="E1281" s="1" t="s">
        <v>120</v>
      </c>
      <c r="F1281" s="1" t="s">
        <v>21</v>
      </c>
      <c r="G1281" s="1" t="s">
        <v>140</v>
      </c>
      <c r="H1281" s="1" t="s">
        <v>211</v>
      </c>
      <c r="I1281" s="1" t="s">
        <v>124</v>
      </c>
      <c r="J1281" s="1" t="s">
        <v>125</v>
      </c>
      <c r="K1281" s="1" t="s">
        <v>109</v>
      </c>
      <c r="L1281" s="1">
        <v>2580800</v>
      </c>
      <c r="M1281" s="1" t="s">
        <v>1437</v>
      </c>
      <c r="N1281" s="5">
        <f>DATE(2019,1,29)</f>
        <v>43494</v>
      </c>
      <c r="O1281" s="5">
        <f>DATE(2021,12,20)</f>
        <v>44550</v>
      </c>
      <c r="P1281" s="5">
        <f t="shared" si="449"/>
        <v>45645</v>
      </c>
      <c r="Q1281" s="1">
        <v>2058</v>
      </c>
      <c r="R1281" s="1">
        <v>1600</v>
      </c>
      <c r="S1281" s="1">
        <f t="shared" si="450"/>
        <v>1600</v>
      </c>
      <c r="T1281" s="1">
        <v>1</v>
      </c>
      <c r="U1281" s="1" t="str">
        <f t="shared" si="451"/>
        <v>SIM</v>
      </c>
      <c r="V1281" s="1">
        <f t="shared" si="452"/>
        <v>1057</v>
      </c>
      <c r="W1281" s="4">
        <f t="shared" si="453"/>
        <v>1.5137180700094608</v>
      </c>
      <c r="X1281" s="4">
        <f t="shared" si="454"/>
        <v>552.50709555345315</v>
      </c>
      <c r="Y1281" s="4">
        <f t="shared" si="455"/>
        <v>0.69063386944181648</v>
      </c>
      <c r="AB1281" s="5">
        <f t="shared" si="456"/>
        <v>45292</v>
      </c>
      <c r="AC1281" s="5">
        <f t="shared" si="457"/>
        <v>45657</v>
      </c>
      <c r="AD1281" s="1">
        <v>5</v>
      </c>
      <c r="AE1281" s="1">
        <f t="shared" si="458"/>
        <v>0</v>
      </c>
      <c r="AF1281" s="1">
        <f t="shared" si="459"/>
        <v>0</v>
      </c>
      <c r="AG1281" s="1">
        <f t="shared" si="460"/>
        <v>0</v>
      </c>
      <c r="AH1281" s="1">
        <f t="shared" si="461"/>
        <v>0</v>
      </c>
      <c r="AI1281" s="1">
        <f t="shared" si="462"/>
        <v>183</v>
      </c>
      <c r="AJ1281" s="3">
        <f t="shared" si="463"/>
        <v>0.5</v>
      </c>
      <c r="AK1281" s="3">
        <f t="shared" si="464"/>
        <v>0.34531693472090824</v>
      </c>
      <c r="AL1281" s="3">
        <f t="shared" si="465"/>
        <v>0.86329233680227058</v>
      </c>
      <c r="AM1281" s="3">
        <f t="shared" si="466"/>
        <v>0.86329233680227058</v>
      </c>
      <c r="AN1281" s="3">
        <f t="shared" si="467"/>
        <v>0</v>
      </c>
      <c r="AO1281" s="3">
        <f t="shared" si="468"/>
        <v>0.86329233680227058</v>
      </c>
      <c r="AP1281" s="1" t="str">
        <f>INDEX({"EAD";"EAD";"EAD";"EAD MOOC";"EAD";"EAD";"EAD FP";"EAD";"PRESENCIAL";"PRESENCIAL";"PRESENCIAL";"PRESENCIAL"}, MATCH(CONCATENATE(E1281, ".", F1281),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82" spans="1:42" x14ac:dyDescent="0.25">
      <c r="A1282" s="1" t="s">
        <v>27</v>
      </c>
      <c r="B1282" s="1" t="s">
        <v>66</v>
      </c>
      <c r="C1282" s="1" t="s">
        <v>29</v>
      </c>
      <c r="D1282" s="1" t="s">
        <v>67</v>
      </c>
      <c r="E1282" s="1" t="s">
        <v>120</v>
      </c>
      <c r="F1282" s="1" t="s">
        <v>21</v>
      </c>
      <c r="G1282" s="1" t="s">
        <v>128</v>
      </c>
      <c r="H1282" s="1" t="s">
        <v>1438</v>
      </c>
      <c r="I1282" s="1" t="s">
        <v>289</v>
      </c>
      <c r="J1282" s="1" t="s">
        <v>125</v>
      </c>
      <c r="K1282" s="1" t="s">
        <v>130</v>
      </c>
      <c r="L1282" s="1">
        <v>2630998</v>
      </c>
      <c r="M1282" s="1" t="s">
        <v>1439</v>
      </c>
      <c r="N1282" s="5">
        <f>DATE(2019,7,23)</f>
        <v>43669</v>
      </c>
      <c r="O1282" s="5">
        <f>DATE(2022,7,7)</f>
        <v>44749</v>
      </c>
      <c r="P1282" s="5">
        <f t="shared" si="449"/>
        <v>45844</v>
      </c>
      <c r="Q1282" s="1">
        <v>3821</v>
      </c>
      <c r="R1282" s="1">
        <v>1200</v>
      </c>
      <c r="S1282" s="1">
        <f t="shared" si="450"/>
        <v>3200</v>
      </c>
      <c r="T1282" s="1">
        <v>2</v>
      </c>
      <c r="U1282" s="1" t="str">
        <f t="shared" si="451"/>
        <v>SIM</v>
      </c>
      <c r="V1282" s="1">
        <f t="shared" si="452"/>
        <v>1081</v>
      </c>
      <c r="W1282" s="4">
        <f t="shared" si="453"/>
        <v>2.9602220166512487</v>
      </c>
      <c r="X1282" s="4">
        <f t="shared" si="454"/>
        <v>1080.4810360777058</v>
      </c>
      <c r="Y1282" s="4">
        <f t="shared" si="455"/>
        <v>1.3506012950971322</v>
      </c>
      <c r="AB1282" s="5">
        <f t="shared" si="456"/>
        <v>45292</v>
      </c>
      <c r="AC1282" s="5">
        <f t="shared" si="457"/>
        <v>45657</v>
      </c>
      <c r="AD1282" s="1">
        <v>1</v>
      </c>
      <c r="AE1282" s="1">
        <f t="shared" si="458"/>
        <v>0</v>
      </c>
      <c r="AF1282" s="1">
        <f t="shared" si="459"/>
        <v>0</v>
      </c>
      <c r="AG1282" s="1">
        <f t="shared" si="460"/>
        <v>0</v>
      </c>
      <c r="AH1282" s="1">
        <f t="shared" si="461"/>
        <v>0</v>
      </c>
      <c r="AI1282" s="1">
        <f t="shared" si="462"/>
        <v>183</v>
      </c>
      <c r="AJ1282" s="3">
        <f t="shared" si="463"/>
        <v>0.5</v>
      </c>
      <c r="AK1282" s="3">
        <f t="shared" si="464"/>
        <v>0.67530064754856611</v>
      </c>
      <c r="AL1282" s="3">
        <f t="shared" si="465"/>
        <v>0.33765032377428306</v>
      </c>
      <c r="AM1282" s="3">
        <f t="shared" si="466"/>
        <v>0.67530064754856611</v>
      </c>
      <c r="AN1282" s="3">
        <f t="shared" si="467"/>
        <v>0</v>
      </c>
      <c r="AO1282" s="3">
        <f t="shared" si="468"/>
        <v>0.67530064754856611</v>
      </c>
      <c r="AP1282" s="1" t="str">
        <f>INDEX({"EAD";"EAD";"EAD";"EAD MOOC";"EAD";"EAD";"EAD FP";"EAD";"PRESENCIAL";"PRESENCIAL";"PRESENCIAL";"PRESENCIAL"}, MATCH(CONCATENATE(E1282, ".", F1282),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83" spans="1:42" x14ac:dyDescent="0.25">
      <c r="A1283" s="1" t="s">
        <v>27</v>
      </c>
      <c r="B1283" s="1" t="s">
        <v>66</v>
      </c>
      <c r="C1283" s="1" t="s">
        <v>29</v>
      </c>
      <c r="D1283" s="1" t="s">
        <v>67</v>
      </c>
      <c r="E1283" s="1" t="s">
        <v>120</v>
      </c>
      <c r="F1283" s="1" t="s">
        <v>21</v>
      </c>
      <c r="G1283" s="1" t="s">
        <v>128</v>
      </c>
      <c r="H1283" s="1" t="s">
        <v>559</v>
      </c>
      <c r="I1283" s="1" t="s">
        <v>289</v>
      </c>
      <c r="J1283" s="1" t="s">
        <v>125</v>
      </c>
      <c r="K1283" s="1" t="s">
        <v>130</v>
      </c>
      <c r="L1283" s="1">
        <v>2631000</v>
      </c>
      <c r="M1283" s="1" t="s">
        <v>1440</v>
      </c>
      <c r="N1283" s="5">
        <f>DATE(2019,7,23)</f>
        <v>43669</v>
      </c>
      <c r="O1283" s="5">
        <f>DATE(2022,7,5)</f>
        <v>44747</v>
      </c>
      <c r="P1283" s="5">
        <f t="shared" si="449"/>
        <v>45842</v>
      </c>
      <c r="Q1283" s="1">
        <v>3638</v>
      </c>
      <c r="R1283" s="1">
        <v>1200</v>
      </c>
      <c r="S1283" s="1">
        <f t="shared" si="450"/>
        <v>3200</v>
      </c>
      <c r="T1283" s="1">
        <v>2.5</v>
      </c>
      <c r="U1283" s="1" t="str">
        <f t="shared" si="451"/>
        <v>SIM</v>
      </c>
      <c r="V1283" s="1">
        <f t="shared" si="452"/>
        <v>1079</v>
      </c>
      <c r="W1283" s="4">
        <f t="shared" si="453"/>
        <v>2.9657089898053752</v>
      </c>
      <c r="X1283" s="4">
        <f t="shared" si="454"/>
        <v>1082.4837812789619</v>
      </c>
      <c r="Y1283" s="4">
        <f t="shared" si="455"/>
        <v>1.3531047265987024</v>
      </c>
      <c r="AB1283" s="5">
        <f t="shared" si="456"/>
        <v>45292</v>
      </c>
      <c r="AC1283" s="5">
        <f t="shared" si="457"/>
        <v>45657</v>
      </c>
      <c r="AD1283" s="1">
        <v>3</v>
      </c>
      <c r="AE1283" s="1">
        <f t="shared" si="458"/>
        <v>0</v>
      </c>
      <c r="AF1283" s="1">
        <f t="shared" si="459"/>
        <v>0</v>
      </c>
      <c r="AG1283" s="1">
        <f t="shared" si="460"/>
        <v>0</v>
      </c>
      <c r="AH1283" s="1">
        <f t="shared" si="461"/>
        <v>0</v>
      </c>
      <c r="AI1283" s="1">
        <f t="shared" si="462"/>
        <v>183</v>
      </c>
      <c r="AJ1283" s="3">
        <f t="shared" si="463"/>
        <v>0.5</v>
      </c>
      <c r="AK1283" s="3">
        <f t="shared" si="464"/>
        <v>0.6765523632993512</v>
      </c>
      <c r="AL1283" s="3">
        <f t="shared" si="465"/>
        <v>1.0148285449490269</v>
      </c>
      <c r="AM1283" s="3">
        <f t="shared" si="466"/>
        <v>2.5370713623725671</v>
      </c>
      <c r="AN1283" s="3">
        <f t="shared" si="467"/>
        <v>0</v>
      </c>
      <c r="AO1283" s="3">
        <f t="shared" si="468"/>
        <v>2.5370713623725671</v>
      </c>
      <c r="AP1283" s="1" t="str">
        <f>INDEX({"EAD";"EAD";"EAD";"EAD MOOC";"EAD";"EAD";"EAD FP";"EAD";"PRESENCIAL";"PRESENCIAL";"PRESENCIAL";"PRESENCIAL"}, MATCH(CONCATENATE(E1283, ".", F1283),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84" spans="1:42" x14ac:dyDescent="0.25">
      <c r="A1284" s="1" t="s">
        <v>27</v>
      </c>
      <c r="B1284" s="1" t="s">
        <v>66</v>
      </c>
      <c r="C1284" s="1" t="s">
        <v>29</v>
      </c>
      <c r="D1284" s="1" t="s">
        <v>67</v>
      </c>
      <c r="E1284" s="1" t="s">
        <v>120</v>
      </c>
      <c r="F1284" s="1" t="s">
        <v>21</v>
      </c>
      <c r="G1284" s="1" t="s">
        <v>140</v>
      </c>
      <c r="H1284" s="1" t="s">
        <v>211</v>
      </c>
      <c r="I1284" s="1" t="s">
        <v>124</v>
      </c>
      <c r="J1284" s="1" t="s">
        <v>125</v>
      </c>
      <c r="K1284" s="1" t="s">
        <v>109</v>
      </c>
      <c r="L1284" s="1">
        <v>2631012</v>
      </c>
      <c r="M1284" s="1" t="s">
        <v>1441</v>
      </c>
      <c r="N1284" s="5">
        <f>DATE(2019,7,23)</f>
        <v>43669</v>
      </c>
      <c r="O1284" s="5">
        <f>DATE(2022,7,5)</f>
        <v>44747</v>
      </c>
      <c r="P1284" s="5">
        <f t="shared" ref="P1284:P1341" si="469">IF(G1284="QUALIFICACAO PROFISSIONAL (FIC)",O1284,O1284+1095)</f>
        <v>45842</v>
      </c>
      <c r="Q1284" s="1">
        <v>2058</v>
      </c>
      <c r="R1284" s="1">
        <v>1600</v>
      </c>
      <c r="S1284" s="1">
        <f t="shared" ref="S1284:S1341" si="470">IF(OR(G1284="QUALIFICACAO PROFISSIONAL (FIC)",G1284="DOUTORADO"),Q1284,    IF(ISNUMBER(FIND("PROEJA",K1284)),2400,        IF(K1284="INTEGRADO",            IF(R1284=800,3000,                IF(R1284=1000,3100,                    IF(R1284=1200,3200,R1284)                )            ),            R1284        )    ))</f>
        <v>1600</v>
      </c>
      <c r="T1284" s="1">
        <v>1</v>
      </c>
      <c r="U1284" s="1" t="str">
        <f t="shared" ref="U1284:U1341" si="471">IF(P1284&lt;AB1284,"NÃO","SIM")</f>
        <v>SIM</v>
      </c>
      <c r="V1284" s="1">
        <f t="shared" ref="V1284:V1341" si="472">O1284-N1284+1</f>
        <v>1079</v>
      </c>
      <c r="W1284" s="4">
        <f t="shared" ref="W1284:W1341" si="473">IF(S1284&gt;Q1284,Q1284,S1284)/V1284</f>
        <v>1.4828544949026876</v>
      </c>
      <c r="X1284" s="4">
        <f t="shared" ref="X1284:X1341" si="474">IF(V1284&gt;365,W1284*365,S1284)</f>
        <v>541.24189063948097</v>
      </c>
      <c r="Y1284" s="4">
        <f t="shared" ref="Y1284:Y1341" si="475">IF(V1284&gt;365,X1284/800,S1284/800)</f>
        <v>0.6765523632993512</v>
      </c>
      <c r="AB1284" s="5">
        <f t="shared" ref="AB1284:AB1341" si="476">DATE(2024,1,1)</f>
        <v>45292</v>
      </c>
      <c r="AC1284" s="5">
        <f t="shared" ref="AC1284:AC1341" si="477">DATE(2024,12,31)</f>
        <v>45657</v>
      </c>
      <c r="AD1284" s="1">
        <v>4</v>
      </c>
      <c r="AE1284" s="1">
        <f t="shared" ref="AE1284:AE1341" si="478">IF(AND(N1284&lt;AB1284,O1284&gt;AC1284),AC1284-AB1284+1,0)</f>
        <v>0</v>
      </c>
      <c r="AF1284" s="1">
        <f t="shared" ref="AF1284:AF1341" si="479">IF(AND(N1284&gt;=AB1284,O1284&gt;AC1284,N1284&lt;AC1284),AC1284-N1284+1,0)</f>
        <v>0</v>
      </c>
      <c r="AG1284" s="1">
        <f t="shared" ref="AG1284:AG1341" si="480">IF(AND(N1284&lt;AB1284,O1284&lt;=AC1284,O1284&gt;=AB1284),O1284-AB1284+1,0)</f>
        <v>0</v>
      </c>
      <c r="AH1284" s="1">
        <f t="shared" ref="AH1284:AH1341" si="481">IF(AND(N1284&gt;=AB1284,O1284&lt;=AC1284),O1284-N1284+1,0)</f>
        <v>0</v>
      </c>
      <c r="AI1284" s="1">
        <f t="shared" ref="AI1284:AI1341" si="482">IF(AND(N1284&lt;AB1284,O1284&lt;AB1284),(AC1284-AB1284+1)/2,0)</f>
        <v>183</v>
      </c>
      <c r="AJ1284" s="3">
        <f t="shared" ref="AJ1284:AJ1341" si="483">SUM(AE1284:AI1284)/IF(V1284&gt;=365,AC1284-AB1284+1,V1284)</f>
        <v>0.5</v>
      </c>
      <c r="AK1284" s="3">
        <f t="shared" ref="AK1284:AK1341" si="484">Y1284*AJ1284</f>
        <v>0.3382761816496756</v>
      </c>
      <c r="AL1284" s="3">
        <f t="shared" ref="AL1284:AL1341" si="485">IF(AI1284=0,AK1284*AD1284,IF(U1284="SIM",AK1284*(AD1284/2),0))</f>
        <v>0.6765523632993512</v>
      </c>
      <c r="AM1284" s="3">
        <f t="shared" ref="AM1284:AM1341" si="486">AL1284*T1284</f>
        <v>0.6765523632993512</v>
      </c>
      <c r="AN1284" s="3">
        <f t="shared" ref="AN1284:AN1341" si="487">IF(J1284="SIM",AM1284*50%,0)</f>
        <v>0</v>
      </c>
      <c r="AO1284" s="3">
        <f t="shared" ref="AO1284:AO1341" si="488">IF(U1284="SIM",AM1284+AN1284,0)</f>
        <v>0.6765523632993512</v>
      </c>
      <c r="AP1284" s="1" t="str">
        <f>INDEX({"EAD";"EAD";"EAD";"EAD MOOC";"EAD";"EAD";"EAD FP";"EAD";"PRESENCIAL";"PRESENCIAL";"PRESENCIAL";"PRESENCIAL"}, MATCH(CONCATENATE(E1284, ".", F1284),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85" spans="1:42" x14ac:dyDescent="0.25">
      <c r="A1285" s="1" t="s">
        <v>27</v>
      </c>
      <c r="B1285" s="1" t="s">
        <v>66</v>
      </c>
      <c r="C1285" s="1" t="s">
        <v>29</v>
      </c>
      <c r="D1285" s="1" t="s">
        <v>67</v>
      </c>
      <c r="E1285" s="1" t="s">
        <v>120</v>
      </c>
      <c r="F1285" s="1" t="s">
        <v>21</v>
      </c>
      <c r="G1285" s="1" t="s">
        <v>128</v>
      </c>
      <c r="H1285" s="1" t="s">
        <v>1438</v>
      </c>
      <c r="I1285" s="1" t="s">
        <v>289</v>
      </c>
      <c r="J1285" s="1" t="s">
        <v>125</v>
      </c>
      <c r="K1285" s="1" t="s">
        <v>130</v>
      </c>
      <c r="L1285" s="1">
        <v>2677313</v>
      </c>
      <c r="M1285" s="1" t="s">
        <v>1442</v>
      </c>
      <c r="N1285" s="5">
        <f>DATE(2020,2,3)</f>
        <v>43864</v>
      </c>
      <c r="O1285" s="5">
        <f>DATE(2022,12,30)</f>
        <v>44925</v>
      </c>
      <c r="P1285" s="5">
        <f t="shared" si="469"/>
        <v>46020</v>
      </c>
      <c r="Q1285" s="1">
        <v>3821</v>
      </c>
      <c r="R1285" s="1">
        <v>1200</v>
      </c>
      <c r="S1285" s="1">
        <f t="shared" si="470"/>
        <v>3200</v>
      </c>
      <c r="T1285" s="1">
        <v>2</v>
      </c>
      <c r="U1285" s="1" t="str">
        <f t="shared" si="471"/>
        <v>SIM</v>
      </c>
      <c r="V1285" s="1">
        <f t="shared" si="472"/>
        <v>1062</v>
      </c>
      <c r="W1285" s="4">
        <f t="shared" si="473"/>
        <v>3.0131826741996233</v>
      </c>
      <c r="X1285" s="4">
        <f t="shared" si="474"/>
        <v>1099.8116760828625</v>
      </c>
      <c r="Y1285" s="4">
        <f t="shared" si="475"/>
        <v>1.3747645951035781</v>
      </c>
      <c r="AB1285" s="5">
        <f t="shared" si="476"/>
        <v>45292</v>
      </c>
      <c r="AC1285" s="5">
        <f t="shared" si="477"/>
        <v>45657</v>
      </c>
      <c r="AD1285" s="1">
        <v>5</v>
      </c>
      <c r="AE1285" s="1">
        <f t="shared" si="478"/>
        <v>0</v>
      </c>
      <c r="AF1285" s="1">
        <f t="shared" si="479"/>
        <v>0</v>
      </c>
      <c r="AG1285" s="1">
        <f t="shared" si="480"/>
        <v>0</v>
      </c>
      <c r="AH1285" s="1">
        <f t="shared" si="481"/>
        <v>0</v>
      </c>
      <c r="AI1285" s="1">
        <f t="shared" si="482"/>
        <v>183</v>
      </c>
      <c r="AJ1285" s="3">
        <f t="shared" si="483"/>
        <v>0.5</v>
      </c>
      <c r="AK1285" s="3">
        <f t="shared" si="484"/>
        <v>0.68738229755178903</v>
      </c>
      <c r="AL1285" s="3">
        <f t="shared" si="485"/>
        <v>1.7184557438794725</v>
      </c>
      <c r="AM1285" s="3">
        <f t="shared" si="486"/>
        <v>3.4369114877589451</v>
      </c>
      <c r="AN1285" s="3">
        <f t="shared" si="487"/>
        <v>0</v>
      </c>
      <c r="AO1285" s="3">
        <f t="shared" si="488"/>
        <v>3.4369114877589451</v>
      </c>
      <c r="AP1285" s="1" t="str">
        <f>INDEX({"EAD";"EAD";"EAD";"EAD MOOC";"EAD";"EAD";"EAD FP";"EAD";"PRESENCIAL";"PRESENCIAL";"PRESENCIAL";"PRESENCIAL"}, MATCH(CONCATENATE(E1285, ".", F1285),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86" spans="1:42" x14ac:dyDescent="0.25">
      <c r="A1286" s="1" t="s">
        <v>27</v>
      </c>
      <c r="B1286" s="1" t="s">
        <v>66</v>
      </c>
      <c r="C1286" s="1" t="s">
        <v>29</v>
      </c>
      <c r="D1286" s="1" t="s">
        <v>67</v>
      </c>
      <c r="E1286" s="1" t="s">
        <v>120</v>
      </c>
      <c r="F1286" s="1" t="s">
        <v>21</v>
      </c>
      <c r="G1286" s="1" t="s">
        <v>128</v>
      </c>
      <c r="H1286" s="1" t="s">
        <v>559</v>
      </c>
      <c r="I1286" s="1" t="s">
        <v>289</v>
      </c>
      <c r="J1286" s="1" t="s">
        <v>125</v>
      </c>
      <c r="K1286" s="1" t="s">
        <v>130</v>
      </c>
      <c r="L1286" s="1">
        <v>2677314</v>
      </c>
      <c r="M1286" s="1" t="s">
        <v>1443</v>
      </c>
      <c r="N1286" s="5">
        <f>DATE(2020,2,3)</f>
        <v>43864</v>
      </c>
      <c r="O1286" s="5">
        <f>DATE(2022,12,30)</f>
        <v>44925</v>
      </c>
      <c r="P1286" s="5">
        <f t="shared" si="469"/>
        <v>46020</v>
      </c>
      <c r="Q1286" s="1">
        <v>3638</v>
      </c>
      <c r="R1286" s="1">
        <v>1200</v>
      </c>
      <c r="S1286" s="1">
        <f t="shared" si="470"/>
        <v>3200</v>
      </c>
      <c r="T1286" s="1">
        <v>2.5</v>
      </c>
      <c r="U1286" s="1" t="str">
        <f t="shared" si="471"/>
        <v>SIM</v>
      </c>
      <c r="V1286" s="1">
        <f t="shared" si="472"/>
        <v>1062</v>
      </c>
      <c r="W1286" s="4">
        <f t="shared" si="473"/>
        <v>3.0131826741996233</v>
      </c>
      <c r="X1286" s="4">
        <f t="shared" si="474"/>
        <v>1099.8116760828625</v>
      </c>
      <c r="Y1286" s="4">
        <f t="shared" si="475"/>
        <v>1.3747645951035781</v>
      </c>
      <c r="AB1286" s="5">
        <f t="shared" si="476"/>
        <v>45292</v>
      </c>
      <c r="AC1286" s="5">
        <f t="shared" si="477"/>
        <v>45657</v>
      </c>
      <c r="AD1286" s="1">
        <v>2</v>
      </c>
      <c r="AE1286" s="1">
        <f t="shared" si="478"/>
        <v>0</v>
      </c>
      <c r="AF1286" s="1">
        <f t="shared" si="479"/>
        <v>0</v>
      </c>
      <c r="AG1286" s="1">
        <f t="shared" si="480"/>
        <v>0</v>
      </c>
      <c r="AH1286" s="1">
        <f t="shared" si="481"/>
        <v>0</v>
      </c>
      <c r="AI1286" s="1">
        <f t="shared" si="482"/>
        <v>183</v>
      </c>
      <c r="AJ1286" s="3">
        <f t="shared" si="483"/>
        <v>0.5</v>
      </c>
      <c r="AK1286" s="3">
        <f t="shared" si="484"/>
        <v>0.68738229755178903</v>
      </c>
      <c r="AL1286" s="3">
        <f t="shared" si="485"/>
        <v>0.68738229755178903</v>
      </c>
      <c r="AM1286" s="3">
        <f t="shared" si="486"/>
        <v>1.7184557438794725</v>
      </c>
      <c r="AN1286" s="3">
        <f t="shared" si="487"/>
        <v>0</v>
      </c>
      <c r="AO1286" s="3">
        <f t="shared" si="488"/>
        <v>1.7184557438794725</v>
      </c>
      <c r="AP1286" s="1" t="str">
        <f>INDEX({"EAD";"EAD";"EAD";"EAD MOOC";"EAD";"EAD";"EAD FP";"EAD";"PRESENCIAL";"PRESENCIAL";"PRESENCIAL";"PRESENCIAL"}, MATCH(CONCATENATE(E1286, ".", F1286),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87" spans="1:42" x14ac:dyDescent="0.25">
      <c r="A1287" s="1" t="s">
        <v>27</v>
      </c>
      <c r="B1287" s="1" t="s">
        <v>66</v>
      </c>
      <c r="C1287" s="1" t="s">
        <v>29</v>
      </c>
      <c r="D1287" s="1" t="s">
        <v>67</v>
      </c>
      <c r="E1287" s="1" t="s">
        <v>120</v>
      </c>
      <c r="F1287" s="1" t="s">
        <v>21</v>
      </c>
      <c r="G1287" s="1" t="s">
        <v>140</v>
      </c>
      <c r="H1287" s="1" t="s">
        <v>211</v>
      </c>
      <c r="I1287" s="1" t="s">
        <v>124</v>
      </c>
      <c r="J1287" s="1" t="s">
        <v>125</v>
      </c>
      <c r="K1287" s="1" t="s">
        <v>109</v>
      </c>
      <c r="L1287" s="1">
        <v>2677330</v>
      </c>
      <c r="M1287" s="1" t="s">
        <v>230</v>
      </c>
      <c r="N1287" s="5">
        <f>DATE(2020,2,3)</f>
        <v>43864</v>
      </c>
      <c r="O1287" s="5">
        <f>DATE(2022,12,30)</f>
        <v>44925</v>
      </c>
      <c r="P1287" s="5">
        <f t="shared" si="469"/>
        <v>46020</v>
      </c>
      <c r="Q1287" s="1">
        <v>2058</v>
      </c>
      <c r="R1287" s="1">
        <v>1600</v>
      </c>
      <c r="S1287" s="1">
        <f t="shared" si="470"/>
        <v>1600</v>
      </c>
      <c r="T1287" s="1">
        <v>1</v>
      </c>
      <c r="U1287" s="1" t="str">
        <f t="shared" si="471"/>
        <v>SIM</v>
      </c>
      <c r="V1287" s="1">
        <f t="shared" si="472"/>
        <v>1062</v>
      </c>
      <c r="W1287" s="4">
        <f t="shared" si="473"/>
        <v>1.5065913370998116</v>
      </c>
      <c r="X1287" s="4">
        <f t="shared" si="474"/>
        <v>549.90583804143125</v>
      </c>
      <c r="Y1287" s="4">
        <f t="shared" si="475"/>
        <v>0.68738229755178903</v>
      </c>
      <c r="AB1287" s="5">
        <f t="shared" si="476"/>
        <v>45292</v>
      </c>
      <c r="AC1287" s="5">
        <f t="shared" si="477"/>
        <v>45657</v>
      </c>
      <c r="AD1287" s="1">
        <v>5</v>
      </c>
      <c r="AE1287" s="1">
        <f t="shared" si="478"/>
        <v>0</v>
      </c>
      <c r="AF1287" s="1">
        <f t="shared" si="479"/>
        <v>0</v>
      </c>
      <c r="AG1287" s="1">
        <f t="shared" si="480"/>
        <v>0</v>
      </c>
      <c r="AH1287" s="1">
        <f t="shared" si="481"/>
        <v>0</v>
      </c>
      <c r="AI1287" s="1">
        <f t="shared" si="482"/>
        <v>183</v>
      </c>
      <c r="AJ1287" s="3">
        <f t="shared" si="483"/>
        <v>0.5</v>
      </c>
      <c r="AK1287" s="3">
        <f t="shared" si="484"/>
        <v>0.34369114877589452</v>
      </c>
      <c r="AL1287" s="3">
        <f t="shared" si="485"/>
        <v>0.85922787193973627</v>
      </c>
      <c r="AM1287" s="3">
        <f t="shared" si="486"/>
        <v>0.85922787193973627</v>
      </c>
      <c r="AN1287" s="3">
        <f t="shared" si="487"/>
        <v>0</v>
      </c>
      <c r="AO1287" s="3">
        <f t="shared" si="488"/>
        <v>0.85922787193973627</v>
      </c>
      <c r="AP1287" s="1" t="str">
        <f>INDEX({"EAD";"EAD";"EAD";"EAD MOOC";"EAD";"EAD";"EAD FP";"EAD";"PRESENCIAL";"PRESENCIAL";"PRESENCIAL";"PRESENCIAL"}, MATCH(CONCATENATE(E1287, ".", F1287),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88" spans="1:42" x14ac:dyDescent="0.25">
      <c r="A1288" s="1" t="s">
        <v>27</v>
      </c>
      <c r="B1288" s="1" t="s">
        <v>66</v>
      </c>
      <c r="C1288" s="1" t="s">
        <v>29</v>
      </c>
      <c r="D1288" s="1" t="s">
        <v>67</v>
      </c>
      <c r="E1288" s="1" t="s">
        <v>120</v>
      </c>
      <c r="F1288" s="1" t="s">
        <v>21</v>
      </c>
      <c r="G1288" s="1" t="s">
        <v>128</v>
      </c>
      <c r="H1288" s="1" t="s">
        <v>1438</v>
      </c>
      <c r="I1288" s="1" t="s">
        <v>289</v>
      </c>
      <c r="J1288" s="1" t="s">
        <v>125</v>
      </c>
      <c r="K1288" s="1" t="s">
        <v>130</v>
      </c>
      <c r="L1288" s="1">
        <v>2728226</v>
      </c>
      <c r="M1288" s="1" t="s">
        <v>1444</v>
      </c>
      <c r="N1288" s="5">
        <f>DATE(2020,10,26)</f>
        <v>44130</v>
      </c>
      <c r="O1288" s="5">
        <f>DATE(2023,8,20)</f>
        <v>45158</v>
      </c>
      <c r="P1288" s="5">
        <f t="shared" si="469"/>
        <v>46253</v>
      </c>
      <c r="Q1288" s="1">
        <v>3821</v>
      </c>
      <c r="R1288" s="1">
        <v>1200</v>
      </c>
      <c r="S1288" s="1">
        <f t="shared" si="470"/>
        <v>3200</v>
      </c>
      <c r="T1288" s="1">
        <v>2</v>
      </c>
      <c r="U1288" s="1" t="str">
        <f t="shared" si="471"/>
        <v>SIM</v>
      </c>
      <c r="V1288" s="1">
        <f t="shared" si="472"/>
        <v>1029</v>
      </c>
      <c r="W1288" s="4">
        <f t="shared" si="473"/>
        <v>3.1098153547133141</v>
      </c>
      <c r="X1288" s="4">
        <f t="shared" si="474"/>
        <v>1135.0826044703597</v>
      </c>
      <c r="Y1288" s="4">
        <f t="shared" si="475"/>
        <v>1.4188532555879496</v>
      </c>
      <c r="AB1288" s="5">
        <f t="shared" si="476"/>
        <v>45292</v>
      </c>
      <c r="AC1288" s="5">
        <f t="shared" si="477"/>
        <v>45657</v>
      </c>
      <c r="AD1288" s="1">
        <v>4</v>
      </c>
      <c r="AE1288" s="1">
        <f t="shared" si="478"/>
        <v>0</v>
      </c>
      <c r="AF1288" s="1">
        <f t="shared" si="479"/>
        <v>0</v>
      </c>
      <c r="AG1288" s="1">
        <f t="shared" si="480"/>
        <v>0</v>
      </c>
      <c r="AH1288" s="1">
        <f t="shared" si="481"/>
        <v>0</v>
      </c>
      <c r="AI1288" s="1">
        <f t="shared" si="482"/>
        <v>183</v>
      </c>
      <c r="AJ1288" s="3">
        <f t="shared" si="483"/>
        <v>0.5</v>
      </c>
      <c r="AK1288" s="3">
        <f t="shared" si="484"/>
        <v>0.70942662779397481</v>
      </c>
      <c r="AL1288" s="3">
        <f t="shared" si="485"/>
        <v>1.4188532555879496</v>
      </c>
      <c r="AM1288" s="3">
        <f t="shared" si="486"/>
        <v>2.8377065111758992</v>
      </c>
      <c r="AN1288" s="3">
        <f t="shared" si="487"/>
        <v>0</v>
      </c>
      <c r="AO1288" s="3">
        <f t="shared" si="488"/>
        <v>2.8377065111758992</v>
      </c>
      <c r="AP1288" s="1" t="str">
        <f>INDEX({"EAD";"EAD";"EAD";"EAD MOOC";"EAD";"EAD";"EAD FP";"EAD";"PRESENCIAL";"PRESENCIAL";"PRESENCIAL";"PRESENCIAL"}, MATCH(CONCATENATE(E1288, ".", F1288),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89" spans="1:42" x14ac:dyDescent="0.25">
      <c r="A1289" s="1" t="s">
        <v>27</v>
      </c>
      <c r="B1289" s="1" t="s">
        <v>66</v>
      </c>
      <c r="C1289" s="1" t="s">
        <v>29</v>
      </c>
      <c r="D1289" s="1" t="s">
        <v>67</v>
      </c>
      <c r="E1289" s="1" t="s">
        <v>120</v>
      </c>
      <c r="F1289" s="1" t="s">
        <v>21</v>
      </c>
      <c r="G1289" s="1" t="s">
        <v>128</v>
      </c>
      <c r="H1289" s="1" t="s">
        <v>559</v>
      </c>
      <c r="I1289" s="1" t="s">
        <v>289</v>
      </c>
      <c r="J1289" s="1" t="s">
        <v>125</v>
      </c>
      <c r="K1289" s="1" t="s">
        <v>130</v>
      </c>
      <c r="L1289" s="1">
        <v>2728229</v>
      </c>
      <c r="M1289" s="1" t="s">
        <v>1445</v>
      </c>
      <c r="N1289" s="5">
        <f>DATE(2020,10,26)</f>
        <v>44130</v>
      </c>
      <c r="O1289" s="5">
        <f>DATE(2023,8,28)</f>
        <v>45166</v>
      </c>
      <c r="P1289" s="5">
        <f t="shared" si="469"/>
        <v>46261</v>
      </c>
      <c r="Q1289" s="1">
        <v>3638</v>
      </c>
      <c r="R1289" s="1">
        <v>1200</v>
      </c>
      <c r="S1289" s="1">
        <f t="shared" si="470"/>
        <v>3200</v>
      </c>
      <c r="T1289" s="1">
        <v>2.5</v>
      </c>
      <c r="U1289" s="1" t="str">
        <f t="shared" si="471"/>
        <v>SIM</v>
      </c>
      <c r="V1289" s="1">
        <f t="shared" si="472"/>
        <v>1037</v>
      </c>
      <c r="W1289" s="4">
        <f t="shared" si="473"/>
        <v>3.085824493731919</v>
      </c>
      <c r="X1289" s="4">
        <f t="shared" si="474"/>
        <v>1126.3259402121505</v>
      </c>
      <c r="Y1289" s="4">
        <f t="shared" si="475"/>
        <v>1.4079074252651882</v>
      </c>
      <c r="AB1289" s="5">
        <f t="shared" si="476"/>
        <v>45292</v>
      </c>
      <c r="AC1289" s="5">
        <f t="shared" si="477"/>
        <v>45657</v>
      </c>
      <c r="AD1289" s="1">
        <v>6</v>
      </c>
      <c r="AE1289" s="1">
        <f t="shared" si="478"/>
        <v>0</v>
      </c>
      <c r="AF1289" s="1">
        <f t="shared" si="479"/>
        <v>0</v>
      </c>
      <c r="AG1289" s="1">
        <f t="shared" si="480"/>
        <v>0</v>
      </c>
      <c r="AH1289" s="1">
        <f t="shared" si="481"/>
        <v>0</v>
      </c>
      <c r="AI1289" s="1">
        <f t="shared" si="482"/>
        <v>183</v>
      </c>
      <c r="AJ1289" s="3">
        <f t="shared" si="483"/>
        <v>0.5</v>
      </c>
      <c r="AK1289" s="3">
        <f t="shared" si="484"/>
        <v>0.7039537126325941</v>
      </c>
      <c r="AL1289" s="3">
        <f t="shared" si="485"/>
        <v>2.1118611378977823</v>
      </c>
      <c r="AM1289" s="3">
        <f t="shared" si="486"/>
        <v>5.2796528447444562</v>
      </c>
      <c r="AN1289" s="3">
        <f t="shared" si="487"/>
        <v>0</v>
      </c>
      <c r="AO1289" s="3">
        <f t="shared" si="488"/>
        <v>5.2796528447444562</v>
      </c>
      <c r="AP1289" s="1" t="str">
        <f>INDEX({"EAD";"EAD";"EAD";"EAD MOOC";"EAD";"EAD";"EAD FP";"EAD";"PRESENCIAL";"PRESENCIAL";"PRESENCIAL";"PRESENCIAL"}, MATCH(CONCATENATE(E1289, ".", F1289),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90" spans="1:42" x14ac:dyDescent="0.25">
      <c r="A1290" s="1" t="s">
        <v>27</v>
      </c>
      <c r="B1290" s="1" t="s">
        <v>66</v>
      </c>
      <c r="C1290" s="1" t="s">
        <v>29</v>
      </c>
      <c r="D1290" s="1" t="s">
        <v>67</v>
      </c>
      <c r="E1290" s="1" t="s">
        <v>120</v>
      </c>
      <c r="F1290" s="1" t="s">
        <v>21</v>
      </c>
      <c r="G1290" s="1" t="s">
        <v>128</v>
      </c>
      <c r="H1290" s="1" t="s">
        <v>1169</v>
      </c>
      <c r="I1290" s="1" t="s">
        <v>124</v>
      </c>
      <c r="J1290" s="1" t="s">
        <v>125</v>
      </c>
      <c r="K1290" s="1" t="s">
        <v>130</v>
      </c>
      <c r="L1290" s="1">
        <v>2728232</v>
      </c>
      <c r="M1290" s="1" t="s">
        <v>1446</v>
      </c>
      <c r="N1290" s="5">
        <f>DATE(2020,10,26)</f>
        <v>44130</v>
      </c>
      <c r="O1290" s="5">
        <f>DATE(2023,8,20)</f>
        <v>45158</v>
      </c>
      <c r="P1290" s="5">
        <f t="shared" si="469"/>
        <v>46253</v>
      </c>
      <c r="Q1290" s="1">
        <v>3390</v>
      </c>
      <c r="R1290" s="1">
        <v>800</v>
      </c>
      <c r="S1290" s="1">
        <f t="shared" si="470"/>
        <v>3000</v>
      </c>
      <c r="T1290" s="1">
        <v>1.5</v>
      </c>
      <c r="U1290" s="1" t="str">
        <f t="shared" si="471"/>
        <v>SIM</v>
      </c>
      <c r="V1290" s="1">
        <f t="shared" si="472"/>
        <v>1029</v>
      </c>
      <c r="W1290" s="4">
        <f t="shared" si="473"/>
        <v>2.9154518950437316</v>
      </c>
      <c r="X1290" s="4">
        <f t="shared" si="474"/>
        <v>1064.1399416909621</v>
      </c>
      <c r="Y1290" s="4">
        <f t="shared" si="475"/>
        <v>1.3301749271137027</v>
      </c>
      <c r="AB1290" s="5">
        <f t="shared" si="476"/>
        <v>45292</v>
      </c>
      <c r="AC1290" s="5">
        <f t="shared" si="477"/>
        <v>45657</v>
      </c>
      <c r="AD1290" s="1">
        <v>5</v>
      </c>
      <c r="AE1290" s="1">
        <f t="shared" si="478"/>
        <v>0</v>
      </c>
      <c r="AF1290" s="1">
        <f t="shared" si="479"/>
        <v>0</v>
      </c>
      <c r="AG1290" s="1">
        <f t="shared" si="480"/>
        <v>0</v>
      </c>
      <c r="AH1290" s="1">
        <f t="shared" si="481"/>
        <v>0</v>
      </c>
      <c r="AI1290" s="1">
        <f t="shared" si="482"/>
        <v>183</v>
      </c>
      <c r="AJ1290" s="3">
        <f t="shared" si="483"/>
        <v>0.5</v>
      </c>
      <c r="AK1290" s="3">
        <f t="shared" si="484"/>
        <v>0.66508746355685133</v>
      </c>
      <c r="AL1290" s="3">
        <f t="shared" si="485"/>
        <v>1.6627186588921283</v>
      </c>
      <c r="AM1290" s="3">
        <f t="shared" si="486"/>
        <v>2.4940779883381925</v>
      </c>
      <c r="AN1290" s="3">
        <f t="shared" si="487"/>
        <v>0</v>
      </c>
      <c r="AO1290" s="3">
        <f t="shared" si="488"/>
        <v>2.4940779883381925</v>
      </c>
      <c r="AP1290" s="1" t="str">
        <f>INDEX({"EAD";"EAD";"EAD";"EAD MOOC";"EAD";"EAD";"EAD FP";"EAD";"PRESENCIAL";"PRESENCIAL";"PRESENCIAL";"PRESENCIAL"}, MATCH(CONCATENATE(E1290, ".", F1290),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91" spans="1:42" x14ac:dyDescent="0.25">
      <c r="A1291" s="1" t="s">
        <v>27</v>
      </c>
      <c r="B1291" s="1" t="s">
        <v>66</v>
      </c>
      <c r="C1291" s="1" t="s">
        <v>29</v>
      </c>
      <c r="D1291" s="1" t="s">
        <v>67</v>
      </c>
      <c r="E1291" s="1" t="s">
        <v>120</v>
      </c>
      <c r="F1291" s="1" t="s">
        <v>21</v>
      </c>
      <c r="G1291" s="1" t="s">
        <v>140</v>
      </c>
      <c r="H1291" s="1" t="s">
        <v>211</v>
      </c>
      <c r="I1291" s="1" t="s">
        <v>124</v>
      </c>
      <c r="J1291" s="1" t="s">
        <v>125</v>
      </c>
      <c r="K1291" s="1" t="s">
        <v>109</v>
      </c>
      <c r="L1291" s="1">
        <v>2728233</v>
      </c>
      <c r="M1291" s="1" t="s">
        <v>1447</v>
      </c>
      <c r="N1291" s="5">
        <f>DATE(2020,10,26)</f>
        <v>44130</v>
      </c>
      <c r="O1291" s="5">
        <f>DATE(2023,8,20)</f>
        <v>45158</v>
      </c>
      <c r="P1291" s="5">
        <f t="shared" si="469"/>
        <v>46253</v>
      </c>
      <c r="Q1291" s="1">
        <v>2058</v>
      </c>
      <c r="R1291" s="1">
        <v>1600</v>
      </c>
      <c r="S1291" s="1">
        <f t="shared" si="470"/>
        <v>1600</v>
      </c>
      <c r="T1291" s="1">
        <v>1</v>
      </c>
      <c r="U1291" s="1" t="str">
        <f t="shared" si="471"/>
        <v>SIM</v>
      </c>
      <c r="V1291" s="1">
        <f t="shared" si="472"/>
        <v>1029</v>
      </c>
      <c r="W1291" s="4">
        <f t="shared" si="473"/>
        <v>1.554907677356657</v>
      </c>
      <c r="X1291" s="4">
        <f t="shared" si="474"/>
        <v>567.54130223517984</v>
      </c>
      <c r="Y1291" s="4">
        <f t="shared" si="475"/>
        <v>0.70942662779397481</v>
      </c>
      <c r="AB1291" s="5">
        <f t="shared" si="476"/>
        <v>45292</v>
      </c>
      <c r="AC1291" s="5">
        <f t="shared" si="477"/>
        <v>45657</v>
      </c>
      <c r="AD1291" s="1">
        <v>5</v>
      </c>
      <c r="AE1291" s="1">
        <f t="shared" si="478"/>
        <v>0</v>
      </c>
      <c r="AF1291" s="1">
        <f t="shared" si="479"/>
        <v>0</v>
      </c>
      <c r="AG1291" s="1">
        <f t="shared" si="480"/>
        <v>0</v>
      </c>
      <c r="AH1291" s="1">
        <f t="shared" si="481"/>
        <v>0</v>
      </c>
      <c r="AI1291" s="1">
        <f t="shared" si="482"/>
        <v>183</v>
      </c>
      <c r="AJ1291" s="3">
        <f t="shared" si="483"/>
        <v>0.5</v>
      </c>
      <c r="AK1291" s="3">
        <f t="shared" si="484"/>
        <v>0.3547133138969874</v>
      </c>
      <c r="AL1291" s="3">
        <f t="shared" si="485"/>
        <v>0.88678328474246848</v>
      </c>
      <c r="AM1291" s="3">
        <f t="shared" si="486"/>
        <v>0.88678328474246848</v>
      </c>
      <c r="AN1291" s="3">
        <f t="shared" si="487"/>
        <v>0</v>
      </c>
      <c r="AO1291" s="3">
        <f t="shared" si="488"/>
        <v>0.88678328474246848</v>
      </c>
      <c r="AP1291" s="1" t="str">
        <f>INDEX({"EAD";"EAD";"EAD";"EAD MOOC";"EAD";"EAD";"EAD FP";"EAD";"PRESENCIAL";"PRESENCIAL";"PRESENCIAL";"PRESENCIAL"}, MATCH(CONCATENATE(E1291, ".", F1291),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92" spans="1:42" x14ac:dyDescent="0.25">
      <c r="A1292" s="1" t="s">
        <v>27</v>
      </c>
      <c r="B1292" s="1" t="s">
        <v>66</v>
      </c>
      <c r="C1292" s="1" t="s">
        <v>29</v>
      </c>
      <c r="D1292" s="1" t="s">
        <v>67</v>
      </c>
      <c r="E1292" s="1" t="s">
        <v>120</v>
      </c>
      <c r="F1292" s="1" t="s">
        <v>21</v>
      </c>
      <c r="G1292" s="1" t="s">
        <v>140</v>
      </c>
      <c r="H1292" s="1" t="s">
        <v>211</v>
      </c>
      <c r="I1292" s="1" t="s">
        <v>124</v>
      </c>
      <c r="J1292" s="1" t="s">
        <v>125</v>
      </c>
      <c r="K1292" s="1" t="s">
        <v>109</v>
      </c>
      <c r="L1292" s="1">
        <v>2772314</v>
      </c>
      <c r="M1292" s="1" t="s">
        <v>1448</v>
      </c>
      <c r="N1292" s="5">
        <f>DATE(2021,4,12)</f>
        <v>44298</v>
      </c>
      <c r="O1292" s="5">
        <f>DATE(2024,5,12)</f>
        <v>45424</v>
      </c>
      <c r="P1292" s="5">
        <f t="shared" si="469"/>
        <v>46519</v>
      </c>
      <c r="Q1292" s="1">
        <v>2058</v>
      </c>
      <c r="R1292" s="1">
        <v>1600</v>
      </c>
      <c r="S1292" s="1">
        <f t="shared" si="470"/>
        <v>1600</v>
      </c>
      <c r="T1292" s="1">
        <v>1</v>
      </c>
      <c r="U1292" s="1" t="str">
        <f t="shared" si="471"/>
        <v>SIM</v>
      </c>
      <c r="V1292" s="1">
        <f t="shared" si="472"/>
        <v>1127</v>
      </c>
      <c r="W1292" s="4">
        <f t="shared" si="473"/>
        <v>1.419698314108252</v>
      </c>
      <c r="X1292" s="4">
        <f t="shared" si="474"/>
        <v>518.18988464951201</v>
      </c>
      <c r="Y1292" s="4">
        <f t="shared" si="475"/>
        <v>0.64773735581188996</v>
      </c>
      <c r="AB1292" s="5">
        <f t="shared" si="476"/>
        <v>45292</v>
      </c>
      <c r="AC1292" s="5">
        <f t="shared" si="477"/>
        <v>45657</v>
      </c>
      <c r="AD1292" s="1">
        <v>15</v>
      </c>
      <c r="AE1292" s="1">
        <f t="shared" si="478"/>
        <v>0</v>
      </c>
      <c r="AF1292" s="1">
        <f t="shared" si="479"/>
        <v>0</v>
      </c>
      <c r="AG1292" s="1">
        <f t="shared" si="480"/>
        <v>133</v>
      </c>
      <c r="AH1292" s="1">
        <f t="shared" si="481"/>
        <v>0</v>
      </c>
      <c r="AI1292" s="1">
        <f t="shared" si="482"/>
        <v>0</v>
      </c>
      <c r="AJ1292" s="3">
        <f t="shared" si="483"/>
        <v>0.36338797814207652</v>
      </c>
      <c r="AK1292" s="3">
        <f t="shared" si="484"/>
        <v>0.23537996809557751</v>
      </c>
      <c r="AL1292" s="3">
        <f t="shared" si="485"/>
        <v>3.5306995214336627</v>
      </c>
      <c r="AM1292" s="3">
        <f t="shared" si="486"/>
        <v>3.5306995214336627</v>
      </c>
      <c r="AN1292" s="3">
        <f t="shared" si="487"/>
        <v>0</v>
      </c>
      <c r="AO1292" s="3">
        <f t="shared" si="488"/>
        <v>3.5306995214336627</v>
      </c>
      <c r="AP1292" s="1" t="str">
        <f>INDEX({"EAD";"EAD";"EAD";"EAD MOOC";"EAD";"EAD";"EAD FP";"EAD";"PRESENCIAL";"PRESENCIAL";"PRESENCIAL";"PRESENCIAL"}, MATCH(CONCATENATE(E1292, ".", F1292),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93" spans="1:42" x14ac:dyDescent="0.25">
      <c r="A1293" s="1" t="s">
        <v>27</v>
      </c>
      <c r="B1293" s="1" t="s">
        <v>66</v>
      </c>
      <c r="C1293" s="1" t="s">
        <v>29</v>
      </c>
      <c r="D1293" s="1" t="s">
        <v>67</v>
      </c>
      <c r="E1293" s="1" t="s">
        <v>120</v>
      </c>
      <c r="F1293" s="1" t="s">
        <v>21</v>
      </c>
      <c r="G1293" s="1" t="s">
        <v>128</v>
      </c>
      <c r="H1293" s="1" t="s">
        <v>1438</v>
      </c>
      <c r="I1293" s="1" t="s">
        <v>289</v>
      </c>
      <c r="J1293" s="1" t="s">
        <v>125</v>
      </c>
      <c r="K1293" s="1" t="s">
        <v>130</v>
      </c>
      <c r="L1293" s="1">
        <v>2772317</v>
      </c>
      <c r="M1293" s="1" t="s">
        <v>1449</v>
      </c>
      <c r="N1293" s="5">
        <f>DATE(2021,4,12)</f>
        <v>44298</v>
      </c>
      <c r="O1293" s="5">
        <f>DATE(2024,5,12)</f>
        <v>45424</v>
      </c>
      <c r="P1293" s="5">
        <f t="shared" si="469"/>
        <v>46519</v>
      </c>
      <c r="Q1293" s="1">
        <v>3821</v>
      </c>
      <c r="R1293" s="1">
        <v>1200</v>
      </c>
      <c r="S1293" s="1">
        <f t="shared" si="470"/>
        <v>3200</v>
      </c>
      <c r="T1293" s="1">
        <v>2</v>
      </c>
      <c r="U1293" s="1" t="str">
        <f t="shared" si="471"/>
        <v>SIM</v>
      </c>
      <c r="V1293" s="1">
        <f t="shared" si="472"/>
        <v>1127</v>
      </c>
      <c r="W1293" s="4">
        <f t="shared" si="473"/>
        <v>2.839396628216504</v>
      </c>
      <c r="X1293" s="4">
        <f t="shared" si="474"/>
        <v>1036.379769299024</v>
      </c>
      <c r="Y1293" s="4">
        <f t="shared" si="475"/>
        <v>1.2954747116237799</v>
      </c>
      <c r="AB1293" s="5">
        <f t="shared" si="476"/>
        <v>45292</v>
      </c>
      <c r="AC1293" s="5">
        <f t="shared" si="477"/>
        <v>45657</v>
      </c>
      <c r="AD1293" s="1">
        <v>6</v>
      </c>
      <c r="AE1293" s="1">
        <f t="shared" si="478"/>
        <v>0</v>
      </c>
      <c r="AF1293" s="1">
        <f t="shared" si="479"/>
        <v>0</v>
      </c>
      <c r="AG1293" s="1">
        <f t="shared" si="480"/>
        <v>133</v>
      </c>
      <c r="AH1293" s="1">
        <f t="shared" si="481"/>
        <v>0</v>
      </c>
      <c r="AI1293" s="1">
        <f t="shared" si="482"/>
        <v>0</v>
      </c>
      <c r="AJ1293" s="3">
        <f t="shared" si="483"/>
        <v>0.36338797814207652</v>
      </c>
      <c r="AK1293" s="3">
        <f t="shared" si="484"/>
        <v>0.47075993619115503</v>
      </c>
      <c r="AL1293" s="3">
        <f t="shared" si="485"/>
        <v>2.8245596171469303</v>
      </c>
      <c r="AM1293" s="3">
        <f t="shared" si="486"/>
        <v>5.6491192342938605</v>
      </c>
      <c r="AN1293" s="3">
        <f t="shared" si="487"/>
        <v>0</v>
      </c>
      <c r="AO1293" s="3">
        <f t="shared" si="488"/>
        <v>5.6491192342938605</v>
      </c>
      <c r="AP1293" s="1" t="str">
        <f>INDEX({"EAD";"EAD";"EAD";"EAD MOOC";"EAD";"EAD";"EAD FP";"EAD";"PRESENCIAL";"PRESENCIAL";"PRESENCIAL";"PRESENCIAL"}, MATCH(CONCATENATE(E1293, ".", F1293),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94" spans="1:42" x14ac:dyDescent="0.25">
      <c r="A1294" s="1" t="s">
        <v>27</v>
      </c>
      <c r="B1294" s="1" t="s">
        <v>66</v>
      </c>
      <c r="C1294" s="1" t="s">
        <v>29</v>
      </c>
      <c r="D1294" s="1" t="s">
        <v>67</v>
      </c>
      <c r="E1294" s="1" t="s">
        <v>120</v>
      </c>
      <c r="F1294" s="1" t="s">
        <v>21</v>
      </c>
      <c r="G1294" s="1" t="s">
        <v>128</v>
      </c>
      <c r="H1294" s="1" t="s">
        <v>559</v>
      </c>
      <c r="I1294" s="1" t="s">
        <v>289</v>
      </c>
      <c r="J1294" s="1" t="s">
        <v>125</v>
      </c>
      <c r="K1294" s="1" t="s">
        <v>130</v>
      </c>
      <c r="L1294" s="1">
        <v>2772320</v>
      </c>
      <c r="M1294" s="1" t="s">
        <v>1450</v>
      </c>
      <c r="N1294" s="5">
        <f>DATE(2021,4,12)</f>
        <v>44298</v>
      </c>
      <c r="O1294" s="5">
        <f>DATE(2024,5,12)</f>
        <v>45424</v>
      </c>
      <c r="P1294" s="5">
        <f t="shared" si="469"/>
        <v>46519</v>
      </c>
      <c r="Q1294" s="1">
        <v>3638</v>
      </c>
      <c r="R1294" s="1">
        <v>1200</v>
      </c>
      <c r="S1294" s="1">
        <f t="shared" si="470"/>
        <v>3200</v>
      </c>
      <c r="T1294" s="1">
        <v>2.5</v>
      </c>
      <c r="U1294" s="1" t="str">
        <f t="shared" si="471"/>
        <v>SIM</v>
      </c>
      <c r="V1294" s="1">
        <f t="shared" si="472"/>
        <v>1127</v>
      </c>
      <c r="W1294" s="4">
        <f t="shared" si="473"/>
        <v>2.839396628216504</v>
      </c>
      <c r="X1294" s="4">
        <f t="shared" si="474"/>
        <v>1036.379769299024</v>
      </c>
      <c r="Y1294" s="4">
        <f t="shared" si="475"/>
        <v>1.2954747116237799</v>
      </c>
      <c r="AB1294" s="5">
        <f t="shared" si="476"/>
        <v>45292</v>
      </c>
      <c r="AC1294" s="5">
        <f t="shared" si="477"/>
        <v>45657</v>
      </c>
      <c r="AD1294" s="1">
        <v>9</v>
      </c>
      <c r="AE1294" s="1">
        <f t="shared" si="478"/>
        <v>0</v>
      </c>
      <c r="AF1294" s="1">
        <f t="shared" si="479"/>
        <v>0</v>
      </c>
      <c r="AG1294" s="1">
        <f t="shared" si="480"/>
        <v>133</v>
      </c>
      <c r="AH1294" s="1">
        <f t="shared" si="481"/>
        <v>0</v>
      </c>
      <c r="AI1294" s="1">
        <f t="shared" si="482"/>
        <v>0</v>
      </c>
      <c r="AJ1294" s="3">
        <f t="shared" si="483"/>
        <v>0.36338797814207652</v>
      </c>
      <c r="AK1294" s="3">
        <f t="shared" si="484"/>
        <v>0.47075993619115503</v>
      </c>
      <c r="AL1294" s="3">
        <f t="shared" si="485"/>
        <v>4.2368394257203956</v>
      </c>
      <c r="AM1294" s="3">
        <f t="shared" si="486"/>
        <v>10.59209856430099</v>
      </c>
      <c r="AN1294" s="3">
        <f t="shared" si="487"/>
        <v>0</v>
      </c>
      <c r="AO1294" s="3">
        <f t="shared" si="488"/>
        <v>10.59209856430099</v>
      </c>
      <c r="AP1294" s="1" t="str">
        <f>INDEX({"EAD";"EAD";"EAD";"EAD MOOC";"EAD";"EAD";"EAD FP";"EAD";"PRESENCIAL";"PRESENCIAL";"PRESENCIAL";"PRESENCIAL"}, MATCH(CONCATENATE(E1294, ".", F1294),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95" spans="1:42" x14ac:dyDescent="0.25">
      <c r="A1295" s="1" t="s">
        <v>27</v>
      </c>
      <c r="B1295" s="1" t="s">
        <v>66</v>
      </c>
      <c r="C1295" s="1" t="s">
        <v>29</v>
      </c>
      <c r="D1295" s="1" t="s">
        <v>67</v>
      </c>
      <c r="E1295" s="1" t="s">
        <v>120</v>
      </c>
      <c r="F1295" s="1" t="s">
        <v>21</v>
      </c>
      <c r="G1295" s="1" t="s">
        <v>128</v>
      </c>
      <c r="H1295" s="1" t="s">
        <v>1169</v>
      </c>
      <c r="I1295" s="1" t="s">
        <v>124</v>
      </c>
      <c r="J1295" s="1" t="s">
        <v>125</v>
      </c>
      <c r="K1295" s="1" t="s">
        <v>130</v>
      </c>
      <c r="L1295" s="1">
        <v>2772323</v>
      </c>
      <c r="M1295" s="1" t="s">
        <v>1451</v>
      </c>
      <c r="N1295" s="5">
        <f>DATE(2021,4,12)</f>
        <v>44298</v>
      </c>
      <c r="O1295" s="5">
        <f>DATE(2024,5,12)</f>
        <v>45424</v>
      </c>
      <c r="P1295" s="5">
        <f t="shared" si="469"/>
        <v>46519</v>
      </c>
      <c r="Q1295" s="1">
        <v>3390</v>
      </c>
      <c r="R1295" s="1">
        <v>800</v>
      </c>
      <c r="S1295" s="1">
        <f t="shared" si="470"/>
        <v>3000</v>
      </c>
      <c r="T1295" s="1">
        <v>1.5</v>
      </c>
      <c r="U1295" s="1" t="str">
        <f t="shared" si="471"/>
        <v>SIM</v>
      </c>
      <c r="V1295" s="1">
        <f t="shared" si="472"/>
        <v>1127</v>
      </c>
      <c r="W1295" s="4">
        <f t="shared" si="473"/>
        <v>2.6619343389529724</v>
      </c>
      <c r="X1295" s="4">
        <f t="shared" si="474"/>
        <v>971.60603371783486</v>
      </c>
      <c r="Y1295" s="4">
        <f t="shared" si="475"/>
        <v>1.2145075421472935</v>
      </c>
      <c r="AB1295" s="5">
        <f t="shared" si="476"/>
        <v>45292</v>
      </c>
      <c r="AC1295" s="5">
        <f t="shared" si="477"/>
        <v>45657</v>
      </c>
      <c r="AD1295" s="1">
        <v>11</v>
      </c>
      <c r="AE1295" s="1">
        <f t="shared" si="478"/>
        <v>0</v>
      </c>
      <c r="AF1295" s="1">
        <f t="shared" si="479"/>
        <v>0</v>
      </c>
      <c r="AG1295" s="1">
        <f t="shared" si="480"/>
        <v>133</v>
      </c>
      <c r="AH1295" s="1">
        <f t="shared" si="481"/>
        <v>0</v>
      </c>
      <c r="AI1295" s="1">
        <f t="shared" si="482"/>
        <v>0</v>
      </c>
      <c r="AJ1295" s="3">
        <f t="shared" si="483"/>
        <v>0.36338797814207652</v>
      </c>
      <c r="AK1295" s="3">
        <f t="shared" si="484"/>
        <v>0.44133744017920779</v>
      </c>
      <c r="AL1295" s="3">
        <f t="shared" si="485"/>
        <v>4.8547118419712856</v>
      </c>
      <c r="AM1295" s="3">
        <f t="shared" si="486"/>
        <v>7.2820677629569284</v>
      </c>
      <c r="AN1295" s="3">
        <f t="shared" si="487"/>
        <v>0</v>
      </c>
      <c r="AO1295" s="3">
        <f t="shared" si="488"/>
        <v>7.2820677629569284</v>
      </c>
      <c r="AP1295" s="1" t="str">
        <f>INDEX({"EAD";"EAD";"EAD";"EAD MOOC";"EAD";"EAD";"EAD FP";"EAD";"PRESENCIAL";"PRESENCIAL";"PRESENCIAL";"PRESENCIAL"}, MATCH(CONCATENATE(E1295, ".", F1295),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96" spans="1:42" x14ac:dyDescent="0.25">
      <c r="A1296" s="1" t="s">
        <v>27</v>
      </c>
      <c r="B1296" s="1" t="s">
        <v>66</v>
      </c>
      <c r="C1296" s="1" t="s">
        <v>29</v>
      </c>
      <c r="D1296" s="1" t="s">
        <v>67</v>
      </c>
      <c r="E1296" s="1" t="s">
        <v>120</v>
      </c>
      <c r="F1296" s="1" t="s">
        <v>21</v>
      </c>
      <c r="G1296" s="1" t="s">
        <v>140</v>
      </c>
      <c r="H1296" s="1" t="s">
        <v>211</v>
      </c>
      <c r="I1296" s="1" t="s">
        <v>124</v>
      </c>
      <c r="J1296" s="1" t="s">
        <v>125</v>
      </c>
      <c r="K1296" s="1" t="s">
        <v>109</v>
      </c>
      <c r="L1296" s="1">
        <v>2806207</v>
      </c>
      <c r="M1296" s="1" t="s">
        <v>1452</v>
      </c>
      <c r="N1296" s="5">
        <f>DATE(2021,8,30)</f>
        <v>44438</v>
      </c>
      <c r="O1296" s="5">
        <f>DATE(2024,8,30)</f>
        <v>45534</v>
      </c>
      <c r="P1296" s="5">
        <f t="shared" si="469"/>
        <v>46629</v>
      </c>
      <c r="Q1296" s="1">
        <v>2058</v>
      </c>
      <c r="R1296" s="1">
        <v>1600</v>
      </c>
      <c r="S1296" s="1">
        <f t="shared" si="470"/>
        <v>1600</v>
      </c>
      <c r="T1296" s="1">
        <v>1</v>
      </c>
      <c r="U1296" s="1" t="str">
        <f t="shared" si="471"/>
        <v>SIM</v>
      </c>
      <c r="V1296" s="1">
        <f t="shared" si="472"/>
        <v>1097</v>
      </c>
      <c r="W1296" s="4">
        <f t="shared" si="473"/>
        <v>1.4585232452142205</v>
      </c>
      <c r="X1296" s="4">
        <f t="shared" si="474"/>
        <v>532.36098450319048</v>
      </c>
      <c r="Y1296" s="4">
        <f t="shared" si="475"/>
        <v>0.66545123062898814</v>
      </c>
      <c r="AB1296" s="5">
        <f t="shared" si="476"/>
        <v>45292</v>
      </c>
      <c r="AC1296" s="5">
        <f t="shared" si="477"/>
        <v>45657</v>
      </c>
      <c r="AD1296" s="1">
        <v>10</v>
      </c>
      <c r="AE1296" s="1">
        <f t="shared" si="478"/>
        <v>0</v>
      </c>
      <c r="AF1296" s="1">
        <f t="shared" si="479"/>
        <v>0</v>
      </c>
      <c r="AG1296" s="1">
        <f t="shared" si="480"/>
        <v>243</v>
      </c>
      <c r="AH1296" s="1">
        <f t="shared" si="481"/>
        <v>0</v>
      </c>
      <c r="AI1296" s="1">
        <f t="shared" si="482"/>
        <v>0</v>
      </c>
      <c r="AJ1296" s="3">
        <f t="shared" si="483"/>
        <v>0.66393442622950816</v>
      </c>
      <c r="AK1296" s="3">
        <f t="shared" si="484"/>
        <v>0.44181598099137737</v>
      </c>
      <c r="AL1296" s="3">
        <f t="shared" si="485"/>
        <v>4.4181598099137736</v>
      </c>
      <c r="AM1296" s="3">
        <f t="shared" si="486"/>
        <v>4.4181598099137736</v>
      </c>
      <c r="AN1296" s="3">
        <f t="shared" si="487"/>
        <v>0</v>
      </c>
      <c r="AO1296" s="3">
        <f t="shared" si="488"/>
        <v>4.4181598099137736</v>
      </c>
      <c r="AP1296" s="1" t="str">
        <f>INDEX({"EAD";"EAD";"EAD";"EAD MOOC";"EAD";"EAD";"EAD FP";"EAD";"PRESENCIAL";"PRESENCIAL";"PRESENCIAL";"PRESENCIAL"}, MATCH(CONCATENATE(E1296, ".", F1296),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97" spans="1:42" x14ac:dyDescent="0.25">
      <c r="A1297" s="1" t="s">
        <v>27</v>
      </c>
      <c r="B1297" s="1" t="s">
        <v>66</v>
      </c>
      <c r="C1297" s="1" t="s">
        <v>29</v>
      </c>
      <c r="D1297" s="1" t="s">
        <v>67</v>
      </c>
      <c r="E1297" s="1" t="s">
        <v>120</v>
      </c>
      <c r="F1297" s="1" t="s">
        <v>21</v>
      </c>
      <c r="G1297" s="1" t="s">
        <v>128</v>
      </c>
      <c r="H1297" s="1" t="s">
        <v>1438</v>
      </c>
      <c r="I1297" s="1" t="s">
        <v>289</v>
      </c>
      <c r="J1297" s="1" t="s">
        <v>125</v>
      </c>
      <c r="K1297" s="1" t="s">
        <v>130</v>
      </c>
      <c r="L1297" s="1">
        <v>2806254</v>
      </c>
      <c r="M1297" s="1" t="s">
        <v>1453</v>
      </c>
      <c r="N1297" s="5">
        <f>DATE(2021,8,30)</f>
        <v>44438</v>
      </c>
      <c r="O1297" s="5">
        <f>DATE(2024,7,30)</f>
        <v>45503</v>
      </c>
      <c r="P1297" s="5">
        <f t="shared" si="469"/>
        <v>46598</v>
      </c>
      <c r="Q1297" s="1">
        <v>3821</v>
      </c>
      <c r="R1297" s="1">
        <v>1200</v>
      </c>
      <c r="S1297" s="1">
        <f t="shared" si="470"/>
        <v>3200</v>
      </c>
      <c r="T1297" s="1">
        <v>2</v>
      </c>
      <c r="U1297" s="1" t="str">
        <f t="shared" si="471"/>
        <v>SIM</v>
      </c>
      <c r="V1297" s="1">
        <f t="shared" si="472"/>
        <v>1066</v>
      </c>
      <c r="W1297" s="4">
        <f t="shared" si="473"/>
        <v>3.0018761726078798</v>
      </c>
      <c r="X1297" s="4">
        <f t="shared" si="474"/>
        <v>1095.6848030018762</v>
      </c>
      <c r="Y1297" s="4">
        <f t="shared" si="475"/>
        <v>1.3696060037523452</v>
      </c>
      <c r="AB1297" s="5">
        <f t="shared" si="476"/>
        <v>45292</v>
      </c>
      <c r="AC1297" s="5">
        <f t="shared" si="477"/>
        <v>45657</v>
      </c>
      <c r="AD1297" s="1">
        <v>26</v>
      </c>
      <c r="AE1297" s="1">
        <f t="shared" si="478"/>
        <v>0</v>
      </c>
      <c r="AF1297" s="1">
        <f t="shared" si="479"/>
        <v>0</v>
      </c>
      <c r="AG1297" s="1">
        <f t="shared" si="480"/>
        <v>212</v>
      </c>
      <c r="AH1297" s="1">
        <f t="shared" si="481"/>
        <v>0</v>
      </c>
      <c r="AI1297" s="1">
        <f t="shared" si="482"/>
        <v>0</v>
      </c>
      <c r="AJ1297" s="3">
        <f t="shared" si="483"/>
        <v>0.57923497267759561</v>
      </c>
      <c r="AK1297" s="3">
        <f t="shared" si="484"/>
        <v>0.7933236961625606</v>
      </c>
      <c r="AL1297" s="3">
        <f t="shared" si="485"/>
        <v>20.626416100226574</v>
      </c>
      <c r="AM1297" s="3">
        <f t="shared" si="486"/>
        <v>41.252832200453149</v>
      </c>
      <c r="AN1297" s="3">
        <f t="shared" si="487"/>
        <v>0</v>
      </c>
      <c r="AO1297" s="3">
        <f t="shared" si="488"/>
        <v>41.252832200453149</v>
      </c>
      <c r="AP1297" s="1" t="str">
        <f>INDEX({"EAD";"EAD";"EAD";"EAD MOOC";"EAD";"EAD";"EAD FP";"EAD";"PRESENCIAL";"PRESENCIAL";"PRESENCIAL";"PRESENCIAL"}, MATCH(CONCATENATE(E1297, ".", F1297),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98" spans="1:42" x14ac:dyDescent="0.25">
      <c r="A1298" s="1" t="s">
        <v>27</v>
      </c>
      <c r="B1298" s="1" t="s">
        <v>66</v>
      </c>
      <c r="C1298" s="1" t="s">
        <v>29</v>
      </c>
      <c r="D1298" s="1" t="s">
        <v>67</v>
      </c>
      <c r="E1298" s="1" t="s">
        <v>120</v>
      </c>
      <c r="F1298" s="1" t="s">
        <v>21</v>
      </c>
      <c r="G1298" s="1" t="s">
        <v>128</v>
      </c>
      <c r="H1298" s="1" t="s">
        <v>559</v>
      </c>
      <c r="I1298" s="1" t="s">
        <v>289</v>
      </c>
      <c r="J1298" s="1" t="s">
        <v>125</v>
      </c>
      <c r="K1298" s="1" t="s">
        <v>130</v>
      </c>
      <c r="L1298" s="1">
        <v>2806425</v>
      </c>
      <c r="M1298" s="1" t="s">
        <v>1454</v>
      </c>
      <c r="N1298" s="5">
        <f>DATE(2021,8,30)</f>
        <v>44438</v>
      </c>
      <c r="O1298" s="5">
        <f>DATE(2024,7,30)</f>
        <v>45503</v>
      </c>
      <c r="P1298" s="5">
        <f t="shared" si="469"/>
        <v>46598</v>
      </c>
      <c r="Q1298" s="1">
        <v>3638</v>
      </c>
      <c r="R1298" s="1">
        <v>1200</v>
      </c>
      <c r="S1298" s="1">
        <f t="shared" si="470"/>
        <v>3200</v>
      </c>
      <c r="T1298" s="1">
        <v>2.5</v>
      </c>
      <c r="U1298" s="1" t="str">
        <f t="shared" si="471"/>
        <v>SIM</v>
      </c>
      <c r="V1298" s="1">
        <f t="shared" si="472"/>
        <v>1066</v>
      </c>
      <c r="W1298" s="4">
        <f t="shared" si="473"/>
        <v>3.0018761726078798</v>
      </c>
      <c r="X1298" s="4">
        <f t="shared" si="474"/>
        <v>1095.6848030018762</v>
      </c>
      <c r="Y1298" s="4">
        <f t="shared" si="475"/>
        <v>1.3696060037523452</v>
      </c>
      <c r="AB1298" s="5">
        <f t="shared" si="476"/>
        <v>45292</v>
      </c>
      <c r="AC1298" s="5">
        <f t="shared" si="477"/>
        <v>45657</v>
      </c>
      <c r="AD1298" s="1">
        <v>25</v>
      </c>
      <c r="AE1298" s="1">
        <f t="shared" si="478"/>
        <v>0</v>
      </c>
      <c r="AF1298" s="1">
        <f t="shared" si="479"/>
        <v>0</v>
      </c>
      <c r="AG1298" s="1">
        <f t="shared" si="480"/>
        <v>212</v>
      </c>
      <c r="AH1298" s="1">
        <f t="shared" si="481"/>
        <v>0</v>
      </c>
      <c r="AI1298" s="1">
        <f t="shared" si="482"/>
        <v>0</v>
      </c>
      <c r="AJ1298" s="3">
        <f t="shared" si="483"/>
        <v>0.57923497267759561</v>
      </c>
      <c r="AK1298" s="3">
        <f t="shared" si="484"/>
        <v>0.7933236961625606</v>
      </c>
      <c r="AL1298" s="3">
        <f t="shared" si="485"/>
        <v>19.833092404064015</v>
      </c>
      <c r="AM1298" s="3">
        <f t="shared" si="486"/>
        <v>49.582731010160039</v>
      </c>
      <c r="AN1298" s="3">
        <f t="shared" si="487"/>
        <v>0</v>
      </c>
      <c r="AO1298" s="3">
        <f t="shared" si="488"/>
        <v>49.582731010160039</v>
      </c>
      <c r="AP1298" s="1" t="str">
        <f>INDEX({"EAD";"EAD";"EAD";"EAD MOOC";"EAD";"EAD";"EAD FP";"EAD";"PRESENCIAL";"PRESENCIAL";"PRESENCIAL";"PRESENCIAL"}, MATCH(CONCATENATE(E1298, ".", F1298),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299" spans="1:42" x14ac:dyDescent="0.25">
      <c r="A1299" s="1" t="s">
        <v>27</v>
      </c>
      <c r="B1299" s="1" t="s">
        <v>66</v>
      </c>
      <c r="C1299" s="1" t="s">
        <v>29</v>
      </c>
      <c r="D1299" s="1" t="s">
        <v>67</v>
      </c>
      <c r="E1299" s="1" t="s">
        <v>120</v>
      </c>
      <c r="F1299" s="1" t="s">
        <v>21</v>
      </c>
      <c r="G1299" s="1" t="s">
        <v>128</v>
      </c>
      <c r="H1299" s="1" t="s">
        <v>1169</v>
      </c>
      <c r="I1299" s="1" t="s">
        <v>124</v>
      </c>
      <c r="J1299" s="1" t="s">
        <v>125</v>
      </c>
      <c r="K1299" s="1" t="s">
        <v>130</v>
      </c>
      <c r="L1299" s="1">
        <v>2806428</v>
      </c>
      <c r="M1299" s="1" t="s">
        <v>1455</v>
      </c>
      <c r="N1299" s="5">
        <f>DATE(2021,8,30)</f>
        <v>44438</v>
      </c>
      <c r="O1299" s="5">
        <f>DATE(2024,7,30)</f>
        <v>45503</v>
      </c>
      <c r="P1299" s="5">
        <f t="shared" si="469"/>
        <v>46598</v>
      </c>
      <c r="Q1299" s="1">
        <v>3390</v>
      </c>
      <c r="R1299" s="1">
        <v>800</v>
      </c>
      <c r="S1299" s="1">
        <f t="shared" si="470"/>
        <v>3000</v>
      </c>
      <c r="T1299" s="1">
        <v>1.5</v>
      </c>
      <c r="U1299" s="1" t="str">
        <f t="shared" si="471"/>
        <v>SIM</v>
      </c>
      <c r="V1299" s="1">
        <f t="shared" si="472"/>
        <v>1066</v>
      </c>
      <c r="W1299" s="4">
        <f t="shared" si="473"/>
        <v>2.8142589118198873</v>
      </c>
      <c r="X1299" s="4">
        <f t="shared" si="474"/>
        <v>1027.2045028142588</v>
      </c>
      <c r="Y1299" s="4">
        <f t="shared" si="475"/>
        <v>1.2840056285178236</v>
      </c>
      <c r="AB1299" s="5">
        <f t="shared" si="476"/>
        <v>45292</v>
      </c>
      <c r="AC1299" s="5">
        <f t="shared" si="477"/>
        <v>45657</v>
      </c>
      <c r="AD1299" s="1">
        <v>25</v>
      </c>
      <c r="AE1299" s="1">
        <f t="shared" si="478"/>
        <v>0</v>
      </c>
      <c r="AF1299" s="1">
        <f t="shared" si="479"/>
        <v>0</v>
      </c>
      <c r="AG1299" s="1">
        <f t="shared" si="480"/>
        <v>212</v>
      </c>
      <c r="AH1299" s="1">
        <f t="shared" si="481"/>
        <v>0</v>
      </c>
      <c r="AI1299" s="1">
        <f t="shared" si="482"/>
        <v>0</v>
      </c>
      <c r="AJ1299" s="3">
        <f t="shared" si="483"/>
        <v>0.57923497267759561</v>
      </c>
      <c r="AK1299" s="3">
        <f t="shared" si="484"/>
        <v>0.74374096515240051</v>
      </c>
      <c r="AL1299" s="3">
        <f t="shared" si="485"/>
        <v>18.593524128810014</v>
      </c>
      <c r="AM1299" s="3">
        <f t="shared" si="486"/>
        <v>27.890286193215019</v>
      </c>
      <c r="AN1299" s="3">
        <f t="shared" si="487"/>
        <v>0</v>
      </c>
      <c r="AO1299" s="3">
        <f t="shared" si="488"/>
        <v>27.890286193215019</v>
      </c>
      <c r="AP1299" s="1" t="str">
        <f>INDEX({"EAD";"EAD";"EAD";"EAD MOOC";"EAD";"EAD";"EAD FP";"EAD";"PRESENCIAL";"PRESENCIAL";"PRESENCIAL";"PRESENCIAL"}, MATCH(CONCATENATE(E1299, ".", F1299),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00" spans="1:42" x14ac:dyDescent="0.25">
      <c r="A1300" s="1" t="s">
        <v>27</v>
      </c>
      <c r="B1300" s="1" t="s">
        <v>66</v>
      </c>
      <c r="C1300" s="1" t="s">
        <v>29</v>
      </c>
      <c r="D1300" s="1" t="s">
        <v>67</v>
      </c>
      <c r="E1300" s="1" t="s">
        <v>120</v>
      </c>
      <c r="F1300" s="1" t="s">
        <v>21</v>
      </c>
      <c r="G1300" s="1" t="s">
        <v>128</v>
      </c>
      <c r="H1300" s="1" t="s">
        <v>1438</v>
      </c>
      <c r="I1300" s="1" t="s">
        <v>289</v>
      </c>
      <c r="J1300" s="1" t="s">
        <v>125</v>
      </c>
      <c r="K1300" s="1" t="s">
        <v>130</v>
      </c>
      <c r="L1300" s="1">
        <v>2838450</v>
      </c>
      <c r="M1300" s="1" t="s">
        <v>1456</v>
      </c>
      <c r="N1300" s="5">
        <f>DATE(2022,1,31)</f>
        <v>44592</v>
      </c>
      <c r="O1300" s="5">
        <f>DATE(2024,12,31)</f>
        <v>45657</v>
      </c>
      <c r="P1300" s="5">
        <f t="shared" si="469"/>
        <v>46752</v>
      </c>
      <c r="Q1300" s="1">
        <v>3821</v>
      </c>
      <c r="R1300" s="1">
        <v>1200</v>
      </c>
      <c r="S1300" s="1">
        <f t="shared" si="470"/>
        <v>3200</v>
      </c>
      <c r="T1300" s="1">
        <v>2</v>
      </c>
      <c r="U1300" s="1" t="str">
        <f t="shared" si="471"/>
        <v>SIM</v>
      </c>
      <c r="V1300" s="1">
        <f t="shared" si="472"/>
        <v>1066</v>
      </c>
      <c r="W1300" s="4">
        <f t="shared" si="473"/>
        <v>3.0018761726078798</v>
      </c>
      <c r="X1300" s="4">
        <f t="shared" si="474"/>
        <v>1095.6848030018762</v>
      </c>
      <c r="Y1300" s="4">
        <f t="shared" si="475"/>
        <v>1.3696060037523452</v>
      </c>
      <c r="AB1300" s="5">
        <f t="shared" si="476"/>
        <v>45292</v>
      </c>
      <c r="AC1300" s="5">
        <f t="shared" si="477"/>
        <v>45657</v>
      </c>
      <c r="AD1300" s="1">
        <v>28</v>
      </c>
      <c r="AE1300" s="1">
        <f t="shared" si="478"/>
        <v>0</v>
      </c>
      <c r="AF1300" s="1">
        <f t="shared" si="479"/>
        <v>0</v>
      </c>
      <c r="AG1300" s="1">
        <f t="shared" si="480"/>
        <v>366</v>
      </c>
      <c r="AH1300" s="1">
        <f t="shared" si="481"/>
        <v>0</v>
      </c>
      <c r="AI1300" s="1">
        <f t="shared" si="482"/>
        <v>0</v>
      </c>
      <c r="AJ1300" s="3">
        <f t="shared" si="483"/>
        <v>1</v>
      </c>
      <c r="AK1300" s="3">
        <f t="shared" si="484"/>
        <v>1.3696060037523452</v>
      </c>
      <c r="AL1300" s="3">
        <f t="shared" si="485"/>
        <v>38.348968105065666</v>
      </c>
      <c r="AM1300" s="3">
        <f t="shared" si="486"/>
        <v>76.697936210131331</v>
      </c>
      <c r="AN1300" s="3">
        <f t="shared" si="487"/>
        <v>0</v>
      </c>
      <c r="AO1300" s="3">
        <f t="shared" si="488"/>
        <v>76.697936210131331</v>
      </c>
      <c r="AP1300" s="1" t="str">
        <f>INDEX({"EAD";"EAD";"EAD";"EAD MOOC";"EAD";"EAD";"EAD FP";"EAD";"PRESENCIAL";"PRESENCIAL";"PRESENCIAL";"PRESENCIAL"}, MATCH(CONCATENATE(E1300, ".", F1300),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01" spans="1:42" x14ac:dyDescent="0.25">
      <c r="A1301" s="1" t="s">
        <v>27</v>
      </c>
      <c r="B1301" s="1" t="s">
        <v>66</v>
      </c>
      <c r="C1301" s="1" t="s">
        <v>29</v>
      </c>
      <c r="D1301" s="1" t="s">
        <v>67</v>
      </c>
      <c r="E1301" s="1" t="s">
        <v>120</v>
      </c>
      <c r="F1301" s="1" t="s">
        <v>21</v>
      </c>
      <c r="G1301" s="1" t="s">
        <v>128</v>
      </c>
      <c r="H1301" s="1" t="s">
        <v>1169</v>
      </c>
      <c r="I1301" s="1" t="s">
        <v>124</v>
      </c>
      <c r="J1301" s="1" t="s">
        <v>125</v>
      </c>
      <c r="K1301" s="1" t="s">
        <v>130</v>
      </c>
      <c r="L1301" s="1">
        <v>2838451</v>
      </c>
      <c r="M1301" s="1" t="s">
        <v>1457</v>
      </c>
      <c r="N1301" s="5">
        <f>DATE(2022,1,31)</f>
        <v>44592</v>
      </c>
      <c r="O1301" s="5">
        <f>DATE(2024,12,31)</f>
        <v>45657</v>
      </c>
      <c r="P1301" s="5">
        <f t="shared" si="469"/>
        <v>46752</v>
      </c>
      <c r="Q1301" s="1">
        <v>3390</v>
      </c>
      <c r="R1301" s="1">
        <v>800</v>
      </c>
      <c r="S1301" s="1">
        <f t="shared" si="470"/>
        <v>3000</v>
      </c>
      <c r="T1301" s="1">
        <v>1.5</v>
      </c>
      <c r="U1301" s="1" t="str">
        <f t="shared" si="471"/>
        <v>SIM</v>
      </c>
      <c r="V1301" s="1">
        <f t="shared" si="472"/>
        <v>1066</v>
      </c>
      <c r="W1301" s="4">
        <f t="shared" si="473"/>
        <v>2.8142589118198873</v>
      </c>
      <c r="X1301" s="4">
        <f t="shared" si="474"/>
        <v>1027.2045028142588</v>
      </c>
      <c r="Y1301" s="4">
        <f t="shared" si="475"/>
        <v>1.2840056285178236</v>
      </c>
      <c r="AB1301" s="5">
        <f t="shared" si="476"/>
        <v>45292</v>
      </c>
      <c r="AC1301" s="5">
        <f t="shared" si="477"/>
        <v>45657</v>
      </c>
      <c r="AD1301" s="1">
        <v>27</v>
      </c>
      <c r="AE1301" s="1">
        <f t="shared" si="478"/>
        <v>0</v>
      </c>
      <c r="AF1301" s="1">
        <f t="shared" si="479"/>
        <v>0</v>
      </c>
      <c r="AG1301" s="1">
        <f t="shared" si="480"/>
        <v>366</v>
      </c>
      <c r="AH1301" s="1">
        <f t="shared" si="481"/>
        <v>0</v>
      </c>
      <c r="AI1301" s="1">
        <f t="shared" si="482"/>
        <v>0</v>
      </c>
      <c r="AJ1301" s="3">
        <f t="shared" si="483"/>
        <v>1</v>
      </c>
      <c r="AK1301" s="3">
        <f t="shared" si="484"/>
        <v>1.2840056285178236</v>
      </c>
      <c r="AL1301" s="3">
        <f t="shared" si="485"/>
        <v>34.668151969981238</v>
      </c>
      <c r="AM1301" s="3">
        <f t="shared" si="486"/>
        <v>52.002227954971858</v>
      </c>
      <c r="AN1301" s="3">
        <f t="shared" si="487"/>
        <v>0</v>
      </c>
      <c r="AO1301" s="3">
        <f t="shared" si="488"/>
        <v>52.002227954971858</v>
      </c>
      <c r="AP1301" s="1" t="str">
        <f>INDEX({"EAD";"EAD";"EAD";"EAD MOOC";"EAD";"EAD";"EAD FP";"EAD";"PRESENCIAL";"PRESENCIAL";"PRESENCIAL";"PRESENCIAL"}, MATCH(CONCATENATE(E1301, ".", F1301),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02" spans="1:42" x14ac:dyDescent="0.25">
      <c r="A1302" s="1" t="s">
        <v>27</v>
      </c>
      <c r="B1302" s="1" t="s">
        <v>66</v>
      </c>
      <c r="C1302" s="1" t="s">
        <v>29</v>
      </c>
      <c r="D1302" s="1" t="s">
        <v>67</v>
      </c>
      <c r="E1302" s="1" t="s">
        <v>120</v>
      </c>
      <c r="F1302" s="1" t="s">
        <v>21</v>
      </c>
      <c r="G1302" s="1" t="s">
        <v>140</v>
      </c>
      <c r="H1302" s="1" t="s">
        <v>211</v>
      </c>
      <c r="I1302" s="1" t="s">
        <v>124</v>
      </c>
      <c r="J1302" s="1" t="s">
        <v>125</v>
      </c>
      <c r="K1302" s="1" t="s">
        <v>109</v>
      </c>
      <c r="L1302" s="1">
        <v>2838454</v>
      </c>
      <c r="M1302" s="1" t="s">
        <v>1458</v>
      </c>
      <c r="N1302" s="5">
        <f>DATE(2022,1,31)</f>
        <v>44592</v>
      </c>
      <c r="O1302" s="5">
        <f>DATE(2024,12,31)</f>
        <v>45657</v>
      </c>
      <c r="P1302" s="5">
        <f t="shared" si="469"/>
        <v>46752</v>
      </c>
      <c r="Q1302" s="1">
        <v>2058</v>
      </c>
      <c r="R1302" s="1">
        <v>1600</v>
      </c>
      <c r="S1302" s="1">
        <f t="shared" si="470"/>
        <v>1600</v>
      </c>
      <c r="T1302" s="1">
        <v>1</v>
      </c>
      <c r="U1302" s="1" t="str">
        <f t="shared" si="471"/>
        <v>SIM</v>
      </c>
      <c r="V1302" s="1">
        <f t="shared" si="472"/>
        <v>1066</v>
      </c>
      <c r="W1302" s="4">
        <f t="shared" si="473"/>
        <v>1.5009380863039399</v>
      </c>
      <c r="X1302" s="4">
        <f t="shared" si="474"/>
        <v>547.84240150093808</v>
      </c>
      <c r="Y1302" s="4">
        <f t="shared" si="475"/>
        <v>0.6848030018761726</v>
      </c>
      <c r="AB1302" s="5">
        <f t="shared" si="476"/>
        <v>45292</v>
      </c>
      <c r="AC1302" s="5">
        <f t="shared" si="477"/>
        <v>45657</v>
      </c>
      <c r="AD1302" s="1">
        <v>23</v>
      </c>
      <c r="AE1302" s="1">
        <f t="shared" si="478"/>
        <v>0</v>
      </c>
      <c r="AF1302" s="1">
        <f t="shared" si="479"/>
        <v>0</v>
      </c>
      <c r="AG1302" s="1">
        <f t="shared" si="480"/>
        <v>366</v>
      </c>
      <c r="AH1302" s="1">
        <f t="shared" si="481"/>
        <v>0</v>
      </c>
      <c r="AI1302" s="1">
        <f t="shared" si="482"/>
        <v>0</v>
      </c>
      <c r="AJ1302" s="3">
        <f t="shared" si="483"/>
        <v>1</v>
      </c>
      <c r="AK1302" s="3">
        <f t="shared" si="484"/>
        <v>0.6848030018761726</v>
      </c>
      <c r="AL1302" s="3">
        <f t="shared" si="485"/>
        <v>15.75046904315197</v>
      </c>
      <c r="AM1302" s="3">
        <f t="shared" si="486"/>
        <v>15.75046904315197</v>
      </c>
      <c r="AN1302" s="3">
        <f t="shared" si="487"/>
        <v>0</v>
      </c>
      <c r="AO1302" s="3">
        <f t="shared" si="488"/>
        <v>15.75046904315197</v>
      </c>
      <c r="AP1302" s="1" t="str">
        <f>INDEX({"EAD";"EAD";"EAD";"EAD MOOC";"EAD";"EAD";"EAD FP";"EAD";"PRESENCIAL";"PRESENCIAL";"PRESENCIAL";"PRESENCIAL"}, MATCH(CONCATENATE(E1302, ".", F1302),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03" spans="1:42" x14ac:dyDescent="0.25">
      <c r="A1303" s="1" t="s">
        <v>27</v>
      </c>
      <c r="B1303" s="1" t="s">
        <v>66</v>
      </c>
      <c r="C1303" s="1" t="s">
        <v>29</v>
      </c>
      <c r="D1303" s="1" t="s">
        <v>67</v>
      </c>
      <c r="E1303" s="1" t="s">
        <v>120</v>
      </c>
      <c r="F1303" s="1" t="s">
        <v>21</v>
      </c>
      <c r="G1303" s="1" t="s">
        <v>128</v>
      </c>
      <c r="H1303" s="1" t="s">
        <v>559</v>
      </c>
      <c r="I1303" s="1" t="s">
        <v>289</v>
      </c>
      <c r="J1303" s="1" t="s">
        <v>125</v>
      </c>
      <c r="K1303" s="1" t="s">
        <v>130</v>
      </c>
      <c r="L1303" s="1">
        <v>2838462</v>
      </c>
      <c r="M1303" s="1" t="s">
        <v>1459</v>
      </c>
      <c r="N1303" s="5">
        <f>DATE(2022,1,31)</f>
        <v>44592</v>
      </c>
      <c r="O1303" s="5">
        <f>DATE(2024,12,31)</f>
        <v>45657</v>
      </c>
      <c r="P1303" s="5">
        <f t="shared" si="469"/>
        <v>46752</v>
      </c>
      <c r="Q1303" s="1">
        <v>3638</v>
      </c>
      <c r="R1303" s="1">
        <v>1200</v>
      </c>
      <c r="S1303" s="1">
        <f t="shared" si="470"/>
        <v>3200</v>
      </c>
      <c r="T1303" s="1">
        <v>2.5</v>
      </c>
      <c r="U1303" s="1" t="str">
        <f t="shared" si="471"/>
        <v>SIM</v>
      </c>
      <c r="V1303" s="1">
        <f t="shared" si="472"/>
        <v>1066</v>
      </c>
      <c r="W1303" s="4">
        <f t="shared" si="473"/>
        <v>3.0018761726078798</v>
      </c>
      <c r="X1303" s="4">
        <f t="shared" si="474"/>
        <v>1095.6848030018762</v>
      </c>
      <c r="Y1303" s="4">
        <f t="shared" si="475"/>
        <v>1.3696060037523452</v>
      </c>
      <c r="AB1303" s="5">
        <f t="shared" si="476"/>
        <v>45292</v>
      </c>
      <c r="AC1303" s="5">
        <f t="shared" si="477"/>
        <v>45657</v>
      </c>
      <c r="AD1303" s="1">
        <v>29</v>
      </c>
      <c r="AE1303" s="1">
        <f t="shared" si="478"/>
        <v>0</v>
      </c>
      <c r="AF1303" s="1">
        <f t="shared" si="479"/>
        <v>0</v>
      </c>
      <c r="AG1303" s="1">
        <f t="shared" si="480"/>
        <v>366</v>
      </c>
      <c r="AH1303" s="1">
        <f t="shared" si="481"/>
        <v>0</v>
      </c>
      <c r="AI1303" s="1">
        <f t="shared" si="482"/>
        <v>0</v>
      </c>
      <c r="AJ1303" s="3">
        <f t="shared" si="483"/>
        <v>1</v>
      </c>
      <c r="AK1303" s="3">
        <f t="shared" si="484"/>
        <v>1.3696060037523452</v>
      </c>
      <c r="AL1303" s="3">
        <f t="shared" si="485"/>
        <v>39.718574108818011</v>
      </c>
      <c r="AM1303" s="3">
        <f t="shared" si="486"/>
        <v>99.296435272045031</v>
      </c>
      <c r="AN1303" s="3">
        <f t="shared" si="487"/>
        <v>0</v>
      </c>
      <c r="AO1303" s="3">
        <f t="shared" si="488"/>
        <v>99.296435272045031</v>
      </c>
      <c r="AP1303" s="1" t="str">
        <f>INDEX({"EAD";"EAD";"EAD";"EAD MOOC";"EAD";"EAD";"EAD FP";"EAD";"PRESENCIAL";"PRESENCIAL";"PRESENCIAL";"PRESENCIAL"}, MATCH(CONCATENATE(E1303, ".", F1303),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04" spans="1:42" x14ac:dyDescent="0.25">
      <c r="A1304" s="1" t="s">
        <v>27</v>
      </c>
      <c r="B1304" s="1" t="s">
        <v>66</v>
      </c>
      <c r="C1304" s="1" t="s">
        <v>29</v>
      </c>
      <c r="D1304" s="1" t="s">
        <v>67</v>
      </c>
      <c r="E1304" s="1" t="s">
        <v>120</v>
      </c>
      <c r="F1304" s="1" t="s">
        <v>21</v>
      </c>
      <c r="G1304" s="1" t="s">
        <v>140</v>
      </c>
      <c r="H1304" s="1" t="s">
        <v>211</v>
      </c>
      <c r="I1304" s="1" t="s">
        <v>124</v>
      </c>
      <c r="J1304" s="1" t="s">
        <v>125</v>
      </c>
      <c r="K1304" s="1" t="s">
        <v>109</v>
      </c>
      <c r="L1304" s="1">
        <v>2890296</v>
      </c>
      <c r="M1304" s="1" t="s">
        <v>1460</v>
      </c>
      <c r="N1304" s="5">
        <f>DATE(2022,8,1)</f>
        <v>44774</v>
      </c>
      <c r="O1304" s="5">
        <f>DATE(2025,7,18)</f>
        <v>45856</v>
      </c>
      <c r="P1304" s="5">
        <f t="shared" si="469"/>
        <v>46951</v>
      </c>
      <c r="Q1304" s="1">
        <v>2058</v>
      </c>
      <c r="R1304" s="1">
        <v>1600</v>
      </c>
      <c r="S1304" s="1">
        <f t="shared" si="470"/>
        <v>1600</v>
      </c>
      <c r="T1304" s="1">
        <v>1</v>
      </c>
      <c r="U1304" s="1" t="str">
        <f t="shared" si="471"/>
        <v>SIM</v>
      </c>
      <c r="V1304" s="1">
        <f t="shared" si="472"/>
        <v>1083</v>
      </c>
      <c r="W1304" s="4">
        <f t="shared" si="473"/>
        <v>1.4773776546629733</v>
      </c>
      <c r="X1304" s="4">
        <f t="shared" si="474"/>
        <v>539.24284395198526</v>
      </c>
      <c r="Y1304" s="4">
        <f t="shared" si="475"/>
        <v>0.67405355493998154</v>
      </c>
      <c r="AB1304" s="5">
        <f t="shared" si="476"/>
        <v>45292</v>
      </c>
      <c r="AC1304" s="5">
        <f t="shared" si="477"/>
        <v>45657</v>
      </c>
      <c r="AD1304" s="1">
        <v>30</v>
      </c>
      <c r="AE1304" s="1">
        <f t="shared" si="478"/>
        <v>366</v>
      </c>
      <c r="AF1304" s="1">
        <f t="shared" si="479"/>
        <v>0</v>
      </c>
      <c r="AG1304" s="1">
        <f t="shared" si="480"/>
        <v>0</v>
      </c>
      <c r="AH1304" s="1">
        <f t="shared" si="481"/>
        <v>0</v>
      </c>
      <c r="AI1304" s="1">
        <f t="shared" si="482"/>
        <v>0</v>
      </c>
      <c r="AJ1304" s="3">
        <f t="shared" si="483"/>
        <v>1</v>
      </c>
      <c r="AK1304" s="3">
        <f t="shared" si="484"/>
        <v>0.67405355493998154</v>
      </c>
      <c r="AL1304" s="3">
        <f t="shared" si="485"/>
        <v>20.221606648199447</v>
      </c>
      <c r="AM1304" s="3">
        <f t="shared" si="486"/>
        <v>20.221606648199447</v>
      </c>
      <c r="AN1304" s="3">
        <f t="shared" si="487"/>
        <v>0</v>
      </c>
      <c r="AO1304" s="3">
        <f t="shared" si="488"/>
        <v>20.221606648199447</v>
      </c>
      <c r="AP1304" s="1" t="str">
        <f>INDEX({"EAD";"EAD";"EAD";"EAD MOOC";"EAD";"EAD";"EAD FP";"EAD";"PRESENCIAL";"PRESENCIAL";"PRESENCIAL";"PRESENCIAL"}, MATCH(CONCATENATE(E1304, ".", F1304),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05" spans="1:42" x14ac:dyDescent="0.25">
      <c r="A1305" s="1" t="s">
        <v>27</v>
      </c>
      <c r="B1305" s="1" t="s">
        <v>66</v>
      </c>
      <c r="C1305" s="1" t="s">
        <v>29</v>
      </c>
      <c r="D1305" s="1" t="s">
        <v>67</v>
      </c>
      <c r="E1305" s="1" t="s">
        <v>120</v>
      </c>
      <c r="F1305" s="1" t="s">
        <v>21</v>
      </c>
      <c r="G1305" s="1" t="s">
        <v>128</v>
      </c>
      <c r="H1305" s="1" t="s">
        <v>1438</v>
      </c>
      <c r="I1305" s="1" t="s">
        <v>289</v>
      </c>
      <c r="J1305" s="1" t="s">
        <v>125</v>
      </c>
      <c r="K1305" s="1" t="s">
        <v>130</v>
      </c>
      <c r="L1305" s="1">
        <v>2890869</v>
      </c>
      <c r="M1305" s="1" t="s">
        <v>1461</v>
      </c>
      <c r="N1305" s="5">
        <f>DATE(2022,8,1)</f>
        <v>44774</v>
      </c>
      <c r="O1305" s="5">
        <f>DATE(2025,7,18)</f>
        <v>45856</v>
      </c>
      <c r="P1305" s="5">
        <f t="shared" si="469"/>
        <v>46951</v>
      </c>
      <c r="Q1305" s="1">
        <v>3821</v>
      </c>
      <c r="R1305" s="1">
        <v>1200</v>
      </c>
      <c r="S1305" s="1">
        <f t="shared" si="470"/>
        <v>3200</v>
      </c>
      <c r="T1305" s="1">
        <v>2</v>
      </c>
      <c r="U1305" s="1" t="str">
        <f t="shared" si="471"/>
        <v>SIM</v>
      </c>
      <c r="V1305" s="1">
        <f t="shared" si="472"/>
        <v>1083</v>
      </c>
      <c r="W1305" s="4">
        <f t="shared" si="473"/>
        <v>2.9547553093259467</v>
      </c>
      <c r="X1305" s="4">
        <f t="shared" si="474"/>
        <v>1078.4856879039705</v>
      </c>
      <c r="Y1305" s="4">
        <f t="shared" si="475"/>
        <v>1.3481071098799631</v>
      </c>
      <c r="AB1305" s="5">
        <f t="shared" si="476"/>
        <v>45292</v>
      </c>
      <c r="AC1305" s="5">
        <f t="shared" si="477"/>
        <v>45657</v>
      </c>
      <c r="AD1305" s="1">
        <v>25</v>
      </c>
      <c r="AE1305" s="1">
        <f t="shared" si="478"/>
        <v>366</v>
      </c>
      <c r="AF1305" s="1">
        <f t="shared" si="479"/>
        <v>0</v>
      </c>
      <c r="AG1305" s="1">
        <f t="shared" si="480"/>
        <v>0</v>
      </c>
      <c r="AH1305" s="1">
        <f t="shared" si="481"/>
        <v>0</v>
      </c>
      <c r="AI1305" s="1">
        <f t="shared" si="482"/>
        <v>0</v>
      </c>
      <c r="AJ1305" s="3">
        <f t="shared" si="483"/>
        <v>1</v>
      </c>
      <c r="AK1305" s="3">
        <f t="shared" si="484"/>
        <v>1.3481071098799631</v>
      </c>
      <c r="AL1305" s="3">
        <f t="shared" si="485"/>
        <v>33.702677746999079</v>
      </c>
      <c r="AM1305" s="3">
        <f t="shared" si="486"/>
        <v>67.405355493998158</v>
      </c>
      <c r="AN1305" s="3">
        <f t="shared" si="487"/>
        <v>0</v>
      </c>
      <c r="AO1305" s="3">
        <f t="shared" si="488"/>
        <v>67.405355493998158</v>
      </c>
      <c r="AP1305" s="1" t="str">
        <f>INDEX({"EAD";"EAD";"EAD";"EAD MOOC";"EAD";"EAD";"EAD FP";"EAD";"PRESENCIAL";"PRESENCIAL";"PRESENCIAL";"PRESENCIAL"}, MATCH(CONCATENATE(E1305, ".", F1305),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06" spans="1:42" x14ac:dyDescent="0.25">
      <c r="A1306" s="1" t="s">
        <v>27</v>
      </c>
      <c r="B1306" s="1" t="s">
        <v>66</v>
      </c>
      <c r="C1306" s="1" t="s">
        <v>29</v>
      </c>
      <c r="D1306" s="1" t="s">
        <v>67</v>
      </c>
      <c r="E1306" s="1" t="s">
        <v>120</v>
      </c>
      <c r="F1306" s="1" t="s">
        <v>21</v>
      </c>
      <c r="G1306" s="1" t="s">
        <v>128</v>
      </c>
      <c r="H1306" s="1" t="s">
        <v>1169</v>
      </c>
      <c r="I1306" s="1" t="s">
        <v>124</v>
      </c>
      <c r="J1306" s="1" t="s">
        <v>125</v>
      </c>
      <c r="K1306" s="1" t="s">
        <v>130</v>
      </c>
      <c r="L1306" s="1">
        <v>2890875</v>
      </c>
      <c r="M1306" s="1" t="s">
        <v>1462</v>
      </c>
      <c r="N1306" s="5">
        <f>DATE(2022,8,1)</f>
        <v>44774</v>
      </c>
      <c r="O1306" s="5">
        <f>DATE(2025,7,18)</f>
        <v>45856</v>
      </c>
      <c r="P1306" s="5">
        <f t="shared" si="469"/>
        <v>46951</v>
      </c>
      <c r="Q1306" s="1">
        <v>3390</v>
      </c>
      <c r="R1306" s="1">
        <v>800</v>
      </c>
      <c r="S1306" s="1">
        <f t="shared" si="470"/>
        <v>3000</v>
      </c>
      <c r="T1306" s="1">
        <v>1.5</v>
      </c>
      <c r="U1306" s="1" t="str">
        <f t="shared" si="471"/>
        <v>SIM</v>
      </c>
      <c r="V1306" s="1">
        <f t="shared" si="472"/>
        <v>1083</v>
      </c>
      <c r="W1306" s="4">
        <f t="shared" si="473"/>
        <v>2.770083102493075</v>
      </c>
      <c r="X1306" s="4">
        <f t="shared" si="474"/>
        <v>1011.0803324099724</v>
      </c>
      <c r="Y1306" s="4">
        <f t="shared" si="475"/>
        <v>1.2638504155124655</v>
      </c>
      <c r="AB1306" s="5">
        <f t="shared" si="476"/>
        <v>45292</v>
      </c>
      <c r="AC1306" s="5">
        <f t="shared" si="477"/>
        <v>45657</v>
      </c>
      <c r="AD1306" s="1">
        <v>22</v>
      </c>
      <c r="AE1306" s="1">
        <f t="shared" si="478"/>
        <v>366</v>
      </c>
      <c r="AF1306" s="1">
        <f t="shared" si="479"/>
        <v>0</v>
      </c>
      <c r="AG1306" s="1">
        <f t="shared" si="480"/>
        <v>0</v>
      </c>
      <c r="AH1306" s="1">
        <f t="shared" si="481"/>
        <v>0</v>
      </c>
      <c r="AI1306" s="1">
        <f t="shared" si="482"/>
        <v>0</v>
      </c>
      <c r="AJ1306" s="3">
        <f t="shared" si="483"/>
        <v>1</v>
      </c>
      <c r="AK1306" s="3">
        <f t="shared" si="484"/>
        <v>1.2638504155124655</v>
      </c>
      <c r="AL1306" s="3">
        <f t="shared" si="485"/>
        <v>27.804709141274241</v>
      </c>
      <c r="AM1306" s="3">
        <f t="shared" si="486"/>
        <v>41.70706371191136</v>
      </c>
      <c r="AN1306" s="3">
        <f t="shared" si="487"/>
        <v>0</v>
      </c>
      <c r="AO1306" s="3">
        <f t="shared" si="488"/>
        <v>41.70706371191136</v>
      </c>
      <c r="AP1306" s="1" t="str">
        <f>INDEX({"EAD";"EAD";"EAD";"EAD MOOC";"EAD";"EAD";"EAD FP";"EAD";"PRESENCIAL";"PRESENCIAL";"PRESENCIAL";"PRESENCIAL"}, MATCH(CONCATENATE(E1306, ".", F1306),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07" spans="1:42" x14ac:dyDescent="0.25">
      <c r="A1307" s="1" t="s">
        <v>27</v>
      </c>
      <c r="B1307" s="1" t="s">
        <v>66</v>
      </c>
      <c r="C1307" s="1" t="s">
        <v>29</v>
      </c>
      <c r="D1307" s="1" t="s">
        <v>67</v>
      </c>
      <c r="E1307" s="1" t="s">
        <v>120</v>
      </c>
      <c r="F1307" s="1" t="s">
        <v>21</v>
      </c>
      <c r="G1307" s="1" t="s">
        <v>128</v>
      </c>
      <c r="H1307" s="1" t="s">
        <v>559</v>
      </c>
      <c r="I1307" s="1" t="s">
        <v>289</v>
      </c>
      <c r="J1307" s="1" t="s">
        <v>125</v>
      </c>
      <c r="K1307" s="1" t="s">
        <v>130</v>
      </c>
      <c r="L1307" s="1">
        <v>2890878</v>
      </c>
      <c r="M1307" s="1" t="s">
        <v>1463</v>
      </c>
      <c r="N1307" s="5">
        <f>DATE(2022,8,1)</f>
        <v>44774</v>
      </c>
      <c r="O1307" s="5">
        <f>DATE(2025,7,18)</f>
        <v>45856</v>
      </c>
      <c r="P1307" s="5">
        <f t="shared" si="469"/>
        <v>46951</v>
      </c>
      <c r="Q1307" s="1">
        <v>3638</v>
      </c>
      <c r="R1307" s="1">
        <v>1200</v>
      </c>
      <c r="S1307" s="1">
        <f t="shared" si="470"/>
        <v>3200</v>
      </c>
      <c r="T1307" s="1">
        <v>2.5</v>
      </c>
      <c r="U1307" s="1" t="str">
        <f t="shared" si="471"/>
        <v>SIM</v>
      </c>
      <c r="V1307" s="1">
        <f t="shared" si="472"/>
        <v>1083</v>
      </c>
      <c r="W1307" s="4">
        <f t="shared" si="473"/>
        <v>2.9547553093259467</v>
      </c>
      <c r="X1307" s="4">
        <f t="shared" si="474"/>
        <v>1078.4856879039705</v>
      </c>
      <c r="Y1307" s="4">
        <f t="shared" si="475"/>
        <v>1.3481071098799631</v>
      </c>
      <c r="AB1307" s="5">
        <f t="shared" si="476"/>
        <v>45292</v>
      </c>
      <c r="AC1307" s="5">
        <f t="shared" si="477"/>
        <v>45657</v>
      </c>
      <c r="AD1307" s="1">
        <v>23</v>
      </c>
      <c r="AE1307" s="1">
        <f t="shared" si="478"/>
        <v>366</v>
      </c>
      <c r="AF1307" s="1">
        <f t="shared" si="479"/>
        <v>0</v>
      </c>
      <c r="AG1307" s="1">
        <f t="shared" si="480"/>
        <v>0</v>
      </c>
      <c r="AH1307" s="1">
        <f t="shared" si="481"/>
        <v>0</v>
      </c>
      <c r="AI1307" s="1">
        <f t="shared" si="482"/>
        <v>0</v>
      </c>
      <c r="AJ1307" s="3">
        <f t="shared" si="483"/>
        <v>1</v>
      </c>
      <c r="AK1307" s="3">
        <f t="shared" si="484"/>
        <v>1.3481071098799631</v>
      </c>
      <c r="AL1307" s="3">
        <f t="shared" si="485"/>
        <v>31.006463527239152</v>
      </c>
      <c r="AM1307" s="3">
        <f t="shared" si="486"/>
        <v>77.516158818097878</v>
      </c>
      <c r="AN1307" s="3">
        <f t="shared" si="487"/>
        <v>0</v>
      </c>
      <c r="AO1307" s="3">
        <f t="shared" si="488"/>
        <v>77.516158818097878</v>
      </c>
      <c r="AP1307" s="1" t="str">
        <f>INDEX({"EAD";"EAD";"EAD";"EAD MOOC";"EAD";"EAD";"EAD FP";"EAD";"PRESENCIAL";"PRESENCIAL";"PRESENCIAL";"PRESENCIAL"}, MATCH(CONCATENATE(E1307, ".", F1307),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08" spans="1:42" x14ac:dyDescent="0.25">
      <c r="A1308" s="1" t="s">
        <v>27</v>
      </c>
      <c r="B1308" s="1" t="s">
        <v>66</v>
      </c>
      <c r="C1308" s="1" t="s">
        <v>29</v>
      </c>
      <c r="D1308" s="1" t="s">
        <v>67</v>
      </c>
      <c r="E1308" s="1" t="s">
        <v>120</v>
      </c>
      <c r="F1308" s="1" t="s">
        <v>21</v>
      </c>
      <c r="G1308" s="1" t="s">
        <v>128</v>
      </c>
      <c r="H1308" s="1" t="s">
        <v>1438</v>
      </c>
      <c r="I1308" s="1" t="s">
        <v>289</v>
      </c>
      <c r="J1308" s="1" t="s">
        <v>125</v>
      </c>
      <c r="K1308" s="1" t="s">
        <v>130</v>
      </c>
      <c r="L1308" s="1">
        <v>2945989</v>
      </c>
      <c r="M1308" s="1" t="s">
        <v>1464</v>
      </c>
      <c r="N1308" s="5">
        <f>DATE(2023,1,31)</f>
        <v>44957</v>
      </c>
      <c r="O1308" s="5">
        <f>DATE(2025,12,31)</f>
        <v>46022</v>
      </c>
      <c r="P1308" s="5">
        <f t="shared" si="469"/>
        <v>47117</v>
      </c>
      <c r="Q1308" s="1">
        <v>3821</v>
      </c>
      <c r="R1308" s="1">
        <v>1200</v>
      </c>
      <c r="S1308" s="1">
        <f t="shared" si="470"/>
        <v>3200</v>
      </c>
      <c r="T1308" s="1">
        <v>2</v>
      </c>
      <c r="U1308" s="1" t="str">
        <f t="shared" si="471"/>
        <v>SIM</v>
      </c>
      <c r="V1308" s="1">
        <f t="shared" si="472"/>
        <v>1066</v>
      </c>
      <c r="W1308" s="4">
        <f t="shared" si="473"/>
        <v>3.0018761726078798</v>
      </c>
      <c r="X1308" s="4">
        <f t="shared" si="474"/>
        <v>1095.6848030018762</v>
      </c>
      <c r="Y1308" s="4">
        <f t="shared" si="475"/>
        <v>1.3696060037523452</v>
      </c>
      <c r="AB1308" s="5">
        <f t="shared" si="476"/>
        <v>45292</v>
      </c>
      <c r="AC1308" s="5">
        <f t="shared" si="477"/>
        <v>45657</v>
      </c>
      <c r="AD1308" s="1">
        <v>31</v>
      </c>
      <c r="AE1308" s="1">
        <f t="shared" si="478"/>
        <v>366</v>
      </c>
      <c r="AF1308" s="1">
        <f t="shared" si="479"/>
        <v>0</v>
      </c>
      <c r="AG1308" s="1">
        <f t="shared" si="480"/>
        <v>0</v>
      </c>
      <c r="AH1308" s="1">
        <f t="shared" si="481"/>
        <v>0</v>
      </c>
      <c r="AI1308" s="1">
        <f t="shared" si="482"/>
        <v>0</v>
      </c>
      <c r="AJ1308" s="3">
        <f t="shared" si="483"/>
        <v>1</v>
      </c>
      <c r="AK1308" s="3">
        <f t="shared" si="484"/>
        <v>1.3696060037523452</v>
      </c>
      <c r="AL1308" s="3">
        <f t="shared" si="485"/>
        <v>42.457786116322701</v>
      </c>
      <c r="AM1308" s="3">
        <f t="shared" si="486"/>
        <v>84.915572232645403</v>
      </c>
      <c r="AN1308" s="3">
        <f t="shared" si="487"/>
        <v>0</v>
      </c>
      <c r="AO1308" s="3">
        <f t="shared" si="488"/>
        <v>84.915572232645403</v>
      </c>
      <c r="AP1308" s="1" t="str">
        <f>INDEX({"EAD";"EAD";"EAD";"EAD MOOC";"EAD";"EAD";"EAD FP";"EAD";"PRESENCIAL";"PRESENCIAL";"PRESENCIAL";"PRESENCIAL"}, MATCH(CONCATENATE(E1308, ".", F1308),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09" spans="1:42" x14ac:dyDescent="0.25">
      <c r="A1309" s="1" t="s">
        <v>27</v>
      </c>
      <c r="B1309" s="1" t="s">
        <v>66</v>
      </c>
      <c r="C1309" s="1" t="s">
        <v>29</v>
      </c>
      <c r="D1309" s="1" t="s">
        <v>67</v>
      </c>
      <c r="E1309" s="1" t="s">
        <v>120</v>
      </c>
      <c r="F1309" s="1" t="s">
        <v>21</v>
      </c>
      <c r="G1309" s="1" t="s">
        <v>128</v>
      </c>
      <c r="H1309" s="1" t="s">
        <v>559</v>
      </c>
      <c r="I1309" s="1" t="s">
        <v>289</v>
      </c>
      <c r="J1309" s="1" t="s">
        <v>125</v>
      </c>
      <c r="K1309" s="1" t="s">
        <v>130</v>
      </c>
      <c r="L1309" s="1">
        <v>2945990</v>
      </c>
      <c r="M1309" s="1" t="s">
        <v>1465</v>
      </c>
      <c r="N1309" s="5">
        <f>DATE(2023,1,31)</f>
        <v>44957</v>
      </c>
      <c r="O1309" s="5">
        <f>DATE(2025,12,31)</f>
        <v>46022</v>
      </c>
      <c r="P1309" s="5">
        <f t="shared" si="469"/>
        <v>47117</v>
      </c>
      <c r="Q1309" s="1">
        <v>3638</v>
      </c>
      <c r="R1309" s="1">
        <v>1200</v>
      </c>
      <c r="S1309" s="1">
        <f t="shared" si="470"/>
        <v>3200</v>
      </c>
      <c r="T1309" s="1">
        <v>2.5</v>
      </c>
      <c r="U1309" s="1" t="str">
        <f t="shared" si="471"/>
        <v>SIM</v>
      </c>
      <c r="V1309" s="1">
        <f t="shared" si="472"/>
        <v>1066</v>
      </c>
      <c r="W1309" s="4">
        <f t="shared" si="473"/>
        <v>3.0018761726078798</v>
      </c>
      <c r="X1309" s="4">
        <f t="shared" si="474"/>
        <v>1095.6848030018762</v>
      </c>
      <c r="Y1309" s="4">
        <f t="shared" si="475"/>
        <v>1.3696060037523452</v>
      </c>
      <c r="AB1309" s="5">
        <f t="shared" si="476"/>
        <v>45292</v>
      </c>
      <c r="AC1309" s="5">
        <f t="shared" si="477"/>
        <v>45657</v>
      </c>
      <c r="AD1309" s="1">
        <v>28</v>
      </c>
      <c r="AE1309" s="1">
        <f t="shared" si="478"/>
        <v>366</v>
      </c>
      <c r="AF1309" s="1">
        <f t="shared" si="479"/>
        <v>0</v>
      </c>
      <c r="AG1309" s="1">
        <f t="shared" si="480"/>
        <v>0</v>
      </c>
      <c r="AH1309" s="1">
        <f t="shared" si="481"/>
        <v>0</v>
      </c>
      <c r="AI1309" s="1">
        <f t="shared" si="482"/>
        <v>0</v>
      </c>
      <c r="AJ1309" s="3">
        <f t="shared" si="483"/>
        <v>1</v>
      </c>
      <c r="AK1309" s="3">
        <f t="shared" si="484"/>
        <v>1.3696060037523452</v>
      </c>
      <c r="AL1309" s="3">
        <f t="shared" si="485"/>
        <v>38.348968105065666</v>
      </c>
      <c r="AM1309" s="3">
        <f t="shared" si="486"/>
        <v>95.872420262664164</v>
      </c>
      <c r="AN1309" s="3">
        <f t="shared" si="487"/>
        <v>0</v>
      </c>
      <c r="AO1309" s="3">
        <f t="shared" si="488"/>
        <v>95.872420262664164</v>
      </c>
      <c r="AP1309" s="1" t="str">
        <f>INDEX({"EAD";"EAD";"EAD";"EAD MOOC";"EAD";"EAD";"EAD FP";"EAD";"PRESENCIAL";"PRESENCIAL";"PRESENCIAL";"PRESENCIAL"}, MATCH(CONCATENATE(E1309, ".", F1309),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10" spans="1:42" x14ac:dyDescent="0.25">
      <c r="A1310" s="1" t="s">
        <v>27</v>
      </c>
      <c r="B1310" s="1" t="s">
        <v>66</v>
      </c>
      <c r="C1310" s="1" t="s">
        <v>29</v>
      </c>
      <c r="D1310" s="1" t="s">
        <v>67</v>
      </c>
      <c r="E1310" s="1" t="s">
        <v>120</v>
      </c>
      <c r="F1310" s="1" t="s">
        <v>21</v>
      </c>
      <c r="G1310" s="1" t="s">
        <v>128</v>
      </c>
      <c r="H1310" s="1" t="s">
        <v>1169</v>
      </c>
      <c r="I1310" s="1" t="s">
        <v>124</v>
      </c>
      <c r="J1310" s="1" t="s">
        <v>125</v>
      </c>
      <c r="K1310" s="1" t="s">
        <v>130</v>
      </c>
      <c r="L1310" s="1">
        <v>2945991</v>
      </c>
      <c r="M1310" s="1" t="s">
        <v>1466</v>
      </c>
      <c r="N1310" s="5">
        <f>DATE(2023,1,31)</f>
        <v>44957</v>
      </c>
      <c r="O1310" s="5">
        <f>DATE(2025,12,31)</f>
        <v>46022</v>
      </c>
      <c r="P1310" s="5">
        <f t="shared" si="469"/>
        <v>47117</v>
      </c>
      <c r="Q1310" s="1">
        <v>3390</v>
      </c>
      <c r="R1310" s="1">
        <v>800</v>
      </c>
      <c r="S1310" s="1">
        <f t="shared" si="470"/>
        <v>3000</v>
      </c>
      <c r="T1310" s="1">
        <v>1.5</v>
      </c>
      <c r="U1310" s="1" t="str">
        <f t="shared" si="471"/>
        <v>SIM</v>
      </c>
      <c r="V1310" s="1">
        <f t="shared" si="472"/>
        <v>1066</v>
      </c>
      <c r="W1310" s="4">
        <f t="shared" si="473"/>
        <v>2.8142589118198873</v>
      </c>
      <c r="X1310" s="4">
        <f t="shared" si="474"/>
        <v>1027.2045028142588</v>
      </c>
      <c r="Y1310" s="4">
        <f t="shared" si="475"/>
        <v>1.2840056285178236</v>
      </c>
      <c r="AB1310" s="5">
        <f t="shared" si="476"/>
        <v>45292</v>
      </c>
      <c r="AC1310" s="5">
        <f t="shared" si="477"/>
        <v>45657</v>
      </c>
      <c r="AD1310" s="1">
        <v>28</v>
      </c>
      <c r="AE1310" s="1">
        <f t="shared" si="478"/>
        <v>366</v>
      </c>
      <c r="AF1310" s="1">
        <f t="shared" si="479"/>
        <v>0</v>
      </c>
      <c r="AG1310" s="1">
        <f t="shared" si="480"/>
        <v>0</v>
      </c>
      <c r="AH1310" s="1">
        <f t="shared" si="481"/>
        <v>0</v>
      </c>
      <c r="AI1310" s="1">
        <f t="shared" si="482"/>
        <v>0</v>
      </c>
      <c r="AJ1310" s="3">
        <f t="shared" si="483"/>
        <v>1</v>
      </c>
      <c r="AK1310" s="3">
        <f t="shared" si="484"/>
        <v>1.2840056285178236</v>
      </c>
      <c r="AL1310" s="3">
        <f t="shared" si="485"/>
        <v>35.952157598499063</v>
      </c>
      <c r="AM1310" s="3">
        <f t="shared" si="486"/>
        <v>53.928236397748591</v>
      </c>
      <c r="AN1310" s="3">
        <f t="shared" si="487"/>
        <v>0</v>
      </c>
      <c r="AO1310" s="3">
        <f t="shared" si="488"/>
        <v>53.928236397748591</v>
      </c>
      <c r="AP1310" s="1" t="str">
        <f>INDEX({"EAD";"EAD";"EAD";"EAD MOOC";"EAD";"EAD";"EAD FP";"EAD";"PRESENCIAL";"PRESENCIAL";"PRESENCIAL";"PRESENCIAL"}, MATCH(CONCATENATE(E1310, ".", F1310),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11" spans="1:42" x14ac:dyDescent="0.25">
      <c r="A1311" s="1" t="s">
        <v>27</v>
      </c>
      <c r="B1311" s="1" t="s">
        <v>66</v>
      </c>
      <c r="C1311" s="1" t="s">
        <v>29</v>
      </c>
      <c r="D1311" s="1" t="s">
        <v>67</v>
      </c>
      <c r="E1311" s="1" t="s">
        <v>120</v>
      </c>
      <c r="F1311" s="1" t="s">
        <v>21</v>
      </c>
      <c r="G1311" s="1" t="s">
        <v>140</v>
      </c>
      <c r="H1311" s="1" t="s">
        <v>211</v>
      </c>
      <c r="I1311" s="1" t="s">
        <v>124</v>
      </c>
      <c r="J1311" s="1" t="s">
        <v>125</v>
      </c>
      <c r="K1311" s="1" t="s">
        <v>109</v>
      </c>
      <c r="L1311" s="1">
        <v>2946137</v>
      </c>
      <c r="M1311" s="1" t="s">
        <v>1467</v>
      </c>
      <c r="N1311" s="5">
        <f>DATE(2023,1,31)</f>
        <v>44957</v>
      </c>
      <c r="O1311" s="5">
        <f>DATE(2025,12,31)</f>
        <v>46022</v>
      </c>
      <c r="P1311" s="5">
        <f t="shared" si="469"/>
        <v>47117</v>
      </c>
      <c r="Q1311" s="1">
        <v>2058</v>
      </c>
      <c r="R1311" s="1">
        <v>1600</v>
      </c>
      <c r="S1311" s="1">
        <f t="shared" si="470"/>
        <v>1600</v>
      </c>
      <c r="T1311" s="1">
        <v>1</v>
      </c>
      <c r="U1311" s="1" t="str">
        <f t="shared" si="471"/>
        <v>SIM</v>
      </c>
      <c r="V1311" s="1">
        <f t="shared" si="472"/>
        <v>1066</v>
      </c>
      <c r="W1311" s="4">
        <f t="shared" si="473"/>
        <v>1.5009380863039399</v>
      </c>
      <c r="X1311" s="4">
        <f t="shared" si="474"/>
        <v>547.84240150093808</v>
      </c>
      <c r="Y1311" s="4">
        <f t="shared" si="475"/>
        <v>0.6848030018761726</v>
      </c>
      <c r="AB1311" s="5">
        <f t="shared" si="476"/>
        <v>45292</v>
      </c>
      <c r="AC1311" s="5">
        <f t="shared" si="477"/>
        <v>45657</v>
      </c>
      <c r="AD1311" s="1">
        <v>26</v>
      </c>
      <c r="AE1311" s="1">
        <f t="shared" si="478"/>
        <v>366</v>
      </c>
      <c r="AF1311" s="1">
        <f t="shared" si="479"/>
        <v>0</v>
      </c>
      <c r="AG1311" s="1">
        <f t="shared" si="480"/>
        <v>0</v>
      </c>
      <c r="AH1311" s="1">
        <f t="shared" si="481"/>
        <v>0</v>
      </c>
      <c r="AI1311" s="1">
        <f t="shared" si="482"/>
        <v>0</v>
      </c>
      <c r="AJ1311" s="3">
        <f t="shared" si="483"/>
        <v>1</v>
      </c>
      <c r="AK1311" s="3">
        <f t="shared" si="484"/>
        <v>0.6848030018761726</v>
      </c>
      <c r="AL1311" s="3">
        <f t="shared" si="485"/>
        <v>17.804878048780488</v>
      </c>
      <c r="AM1311" s="3">
        <f t="shared" si="486"/>
        <v>17.804878048780488</v>
      </c>
      <c r="AN1311" s="3">
        <f t="shared" si="487"/>
        <v>0</v>
      </c>
      <c r="AO1311" s="3">
        <f t="shared" si="488"/>
        <v>17.804878048780488</v>
      </c>
      <c r="AP1311" s="1" t="str">
        <f>INDEX({"EAD";"EAD";"EAD";"EAD MOOC";"EAD";"EAD";"EAD FP";"EAD";"PRESENCIAL";"PRESENCIAL";"PRESENCIAL";"PRESENCIAL"}, MATCH(CONCATENATE(E1311, ".", F1311),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12" spans="1:42" x14ac:dyDescent="0.25">
      <c r="A1312" s="1" t="s">
        <v>27</v>
      </c>
      <c r="B1312" s="1" t="s">
        <v>66</v>
      </c>
      <c r="C1312" s="1" t="s">
        <v>29</v>
      </c>
      <c r="D1312" s="1" t="s">
        <v>67</v>
      </c>
      <c r="E1312" s="1" t="s">
        <v>170</v>
      </c>
      <c r="F1312" s="1" t="s">
        <v>21</v>
      </c>
      <c r="G1312" s="1" t="s">
        <v>128</v>
      </c>
      <c r="H1312" s="1" t="s">
        <v>174</v>
      </c>
      <c r="I1312" s="1" t="s">
        <v>172</v>
      </c>
      <c r="J1312" s="1" t="s">
        <v>125</v>
      </c>
      <c r="K1312" s="1" t="s">
        <v>163</v>
      </c>
      <c r="L1312" s="1">
        <v>2962863</v>
      </c>
      <c r="M1312" s="1" t="s">
        <v>1468</v>
      </c>
      <c r="N1312" s="5">
        <f>DATE(2023,4,2)</f>
        <v>45018</v>
      </c>
      <c r="O1312" s="5">
        <f>DATE(2024,10,31)</f>
        <v>45596</v>
      </c>
      <c r="P1312" s="5">
        <f t="shared" si="469"/>
        <v>46691</v>
      </c>
      <c r="Q1312" s="1">
        <v>1200</v>
      </c>
      <c r="R1312" s="1">
        <v>1200</v>
      </c>
      <c r="S1312" s="1">
        <f t="shared" si="470"/>
        <v>1200</v>
      </c>
      <c r="T1312" s="1">
        <v>1</v>
      </c>
      <c r="U1312" s="1" t="str">
        <f t="shared" si="471"/>
        <v>SIM</v>
      </c>
      <c r="V1312" s="1">
        <f t="shared" si="472"/>
        <v>579</v>
      </c>
      <c r="W1312" s="4">
        <f t="shared" si="473"/>
        <v>2.0725388601036268</v>
      </c>
      <c r="X1312" s="4">
        <f t="shared" si="474"/>
        <v>756.47668393782374</v>
      </c>
      <c r="Y1312" s="4">
        <f t="shared" si="475"/>
        <v>0.94559585492227971</v>
      </c>
      <c r="AB1312" s="5">
        <f t="shared" si="476"/>
        <v>45292</v>
      </c>
      <c r="AC1312" s="5">
        <f t="shared" si="477"/>
        <v>45657</v>
      </c>
      <c r="AD1312" s="1">
        <v>46</v>
      </c>
      <c r="AE1312" s="1">
        <f t="shared" si="478"/>
        <v>0</v>
      </c>
      <c r="AF1312" s="1">
        <f t="shared" si="479"/>
        <v>0</v>
      </c>
      <c r="AG1312" s="1">
        <f t="shared" si="480"/>
        <v>305</v>
      </c>
      <c r="AH1312" s="1">
        <f t="shared" si="481"/>
        <v>0</v>
      </c>
      <c r="AI1312" s="1">
        <f t="shared" si="482"/>
        <v>0</v>
      </c>
      <c r="AJ1312" s="3">
        <f t="shared" si="483"/>
        <v>0.83333333333333337</v>
      </c>
      <c r="AK1312" s="3">
        <f t="shared" si="484"/>
        <v>0.78799654576856648</v>
      </c>
      <c r="AL1312" s="3">
        <f t="shared" si="485"/>
        <v>36.247841105354055</v>
      </c>
      <c r="AM1312" s="3">
        <f t="shared" si="486"/>
        <v>36.247841105354055</v>
      </c>
      <c r="AN1312" s="3">
        <f t="shared" si="487"/>
        <v>0</v>
      </c>
      <c r="AO1312" s="3">
        <f t="shared" si="488"/>
        <v>36.247841105354055</v>
      </c>
      <c r="AP1312" s="1" t="str">
        <f>INDEX({"EAD";"EAD";"EAD";"EAD MOOC";"EAD";"EAD";"EAD FP";"EAD";"PRESENCIAL";"PRESENCIAL";"PRESENCIAL";"PRESENCIAL"}, MATCH(CONCATENATE(E1312, ".", F1312),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313" spans="1:42" x14ac:dyDescent="0.25">
      <c r="A1313" s="1" t="s">
        <v>27</v>
      </c>
      <c r="B1313" s="1" t="s">
        <v>66</v>
      </c>
      <c r="C1313" s="1" t="s">
        <v>29</v>
      </c>
      <c r="D1313" s="1" t="s">
        <v>67</v>
      </c>
      <c r="E1313" s="1" t="s">
        <v>170</v>
      </c>
      <c r="F1313" s="1" t="s">
        <v>21</v>
      </c>
      <c r="G1313" s="1" t="s">
        <v>128</v>
      </c>
      <c r="H1313" s="1" t="s">
        <v>171</v>
      </c>
      <c r="I1313" s="1" t="s">
        <v>172</v>
      </c>
      <c r="J1313" s="1" t="s">
        <v>125</v>
      </c>
      <c r="K1313" s="1" t="s">
        <v>163</v>
      </c>
      <c r="L1313" s="1">
        <v>2958711</v>
      </c>
      <c r="M1313" s="1" t="s">
        <v>300</v>
      </c>
      <c r="N1313" s="5">
        <f>DATE(2023,4,3)</f>
        <v>45019</v>
      </c>
      <c r="O1313" s="5">
        <f>DATE(2024,10,31)</f>
        <v>45596</v>
      </c>
      <c r="P1313" s="5">
        <f t="shared" si="469"/>
        <v>46691</v>
      </c>
      <c r="Q1313" s="1">
        <v>1200</v>
      </c>
      <c r="R1313" s="1">
        <v>1200</v>
      </c>
      <c r="S1313" s="1">
        <f t="shared" si="470"/>
        <v>1200</v>
      </c>
      <c r="T1313" s="1">
        <v>2</v>
      </c>
      <c r="U1313" s="1" t="str">
        <f t="shared" si="471"/>
        <v>SIM</v>
      </c>
      <c r="V1313" s="1">
        <f t="shared" si="472"/>
        <v>578</v>
      </c>
      <c r="W1313" s="4">
        <f t="shared" si="473"/>
        <v>2.0761245674740483</v>
      </c>
      <c r="X1313" s="4">
        <f t="shared" si="474"/>
        <v>757.78546712802768</v>
      </c>
      <c r="Y1313" s="4">
        <f t="shared" si="475"/>
        <v>0.94723183391003463</v>
      </c>
      <c r="AB1313" s="5">
        <f t="shared" si="476"/>
        <v>45292</v>
      </c>
      <c r="AC1313" s="5">
        <f t="shared" si="477"/>
        <v>45657</v>
      </c>
      <c r="AD1313" s="1">
        <v>40</v>
      </c>
      <c r="AE1313" s="1">
        <f t="shared" si="478"/>
        <v>0</v>
      </c>
      <c r="AF1313" s="1">
        <f t="shared" si="479"/>
        <v>0</v>
      </c>
      <c r="AG1313" s="1">
        <f t="shared" si="480"/>
        <v>305</v>
      </c>
      <c r="AH1313" s="1">
        <f t="shared" si="481"/>
        <v>0</v>
      </c>
      <c r="AI1313" s="1">
        <f t="shared" si="482"/>
        <v>0</v>
      </c>
      <c r="AJ1313" s="3">
        <f t="shared" si="483"/>
        <v>0.83333333333333337</v>
      </c>
      <c r="AK1313" s="3">
        <f t="shared" si="484"/>
        <v>0.78935986159169558</v>
      </c>
      <c r="AL1313" s="3">
        <f t="shared" si="485"/>
        <v>31.574394463667822</v>
      </c>
      <c r="AM1313" s="3">
        <f t="shared" si="486"/>
        <v>63.148788927335644</v>
      </c>
      <c r="AN1313" s="3">
        <f t="shared" si="487"/>
        <v>0</v>
      </c>
      <c r="AO1313" s="3">
        <f t="shared" si="488"/>
        <v>63.148788927335644</v>
      </c>
      <c r="AP1313" s="1" t="str">
        <f>INDEX({"EAD";"EAD";"EAD";"EAD MOOC";"EAD";"EAD";"EAD FP";"EAD";"PRESENCIAL";"PRESENCIAL";"PRESENCIAL";"PRESENCIAL"}, MATCH(CONCATENATE(E1313, ".", F1313),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314" spans="1:42" x14ac:dyDescent="0.25">
      <c r="A1314" s="1" t="s">
        <v>27</v>
      </c>
      <c r="B1314" s="1" t="s">
        <v>66</v>
      </c>
      <c r="C1314" s="1" t="s">
        <v>29</v>
      </c>
      <c r="D1314" s="1" t="s">
        <v>67</v>
      </c>
      <c r="E1314" s="1" t="s">
        <v>170</v>
      </c>
      <c r="F1314" s="1" t="s">
        <v>21</v>
      </c>
      <c r="G1314" s="1" t="s">
        <v>128</v>
      </c>
      <c r="H1314" s="1" t="s">
        <v>174</v>
      </c>
      <c r="I1314" s="1" t="s">
        <v>172</v>
      </c>
      <c r="J1314" s="1" t="s">
        <v>125</v>
      </c>
      <c r="K1314" s="1" t="s">
        <v>163</v>
      </c>
      <c r="L1314" s="1">
        <v>2958718</v>
      </c>
      <c r="M1314" s="1" t="s">
        <v>301</v>
      </c>
      <c r="N1314" s="5">
        <f>DATE(2023,4,3)</f>
        <v>45019</v>
      </c>
      <c r="O1314" s="5">
        <f>DATE(2024,10,31)</f>
        <v>45596</v>
      </c>
      <c r="P1314" s="5">
        <f t="shared" si="469"/>
        <v>46691</v>
      </c>
      <c r="Q1314" s="1">
        <v>1200</v>
      </c>
      <c r="R1314" s="1">
        <v>1200</v>
      </c>
      <c r="S1314" s="1">
        <f t="shared" si="470"/>
        <v>1200</v>
      </c>
      <c r="T1314" s="1">
        <v>1</v>
      </c>
      <c r="U1314" s="1" t="str">
        <f t="shared" si="471"/>
        <v>SIM</v>
      </c>
      <c r="V1314" s="1">
        <f t="shared" si="472"/>
        <v>578</v>
      </c>
      <c r="W1314" s="4">
        <f t="shared" si="473"/>
        <v>2.0761245674740483</v>
      </c>
      <c r="X1314" s="4">
        <f t="shared" si="474"/>
        <v>757.78546712802768</v>
      </c>
      <c r="Y1314" s="4">
        <f t="shared" si="475"/>
        <v>0.94723183391003463</v>
      </c>
      <c r="AB1314" s="5">
        <f t="shared" si="476"/>
        <v>45292</v>
      </c>
      <c r="AC1314" s="5">
        <f t="shared" si="477"/>
        <v>45657</v>
      </c>
      <c r="AD1314" s="1">
        <v>50</v>
      </c>
      <c r="AE1314" s="1">
        <f t="shared" si="478"/>
        <v>0</v>
      </c>
      <c r="AF1314" s="1">
        <f t="shared" si="479"/>
        <v>0</v>
      </c>
      <c r="AG1314" s="1">
        <f t="shared" si="480"/>
        <v>305</v>
      </c>
      <c r="AH1314" s="1">
        <f t="shared" si="481"/>
        <v>0</v>
      </c>
      <c r="AI1314" s="1">
        <f t="shared" si="482"/>
        <v>0</v>
      </c>
      <c r="AJ1314" s="3">
        <f t="shared" si="483"/>
        <v>0.83333333333333337</v>
      </c>
      <c r="AK1314" s="3">
        <f t="shared" si="484"/>
        <v>0.78935986159169558</v>
      </c>
      <c r="AL1314" s="3">
        <f t="shared" si="485"/>
        <v>39.46799307958478</v>
      </c>
      <c r="AM1314" s="3">
        <f t="shared" si="486"/>
        <v>39.46799307958478</v>
      </c>
      <c r="AN1314" s="3">
        <f t="shared" si="487"/>
        <v>0</v>
      </c>
      <c r="AO1314" s="3">
        <f t="shared" si="488"/>
        <v>39.46799307958478</v>
      </c>
      <c r="AP1314" s="1" t="str">
        <f>INDEX({"EAD";"EAD";"EAD";"EAD MOOC";"EAD";"EAD";"EAD FP";"EAD";"PRESENCIAL";"PRESENCIAL";"PRESENCIAL";"PRESENCIAL"}, MATCH(CONCATENATE(E1314, ".", F1314),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315" spans="1:42" x14ac:dyDescent="0.25">
      <c r="A1315" s="1" t="s">
        <v>27</v>
      </c>
      <c r="B1315" s="1" t="s">
        <v>66</v>
      </c>
      <c r="C1315" s="1" t="s">
        <v>29</v>
      </c>
      <c r="D1315" s="1" t="s">
        <v>67</v>
      </c>
      <c r="E1315" s="1" t="s">
        <v>170</v>
      </c>
      <c r="F1315" s="1" t="s">
        <v>21</v>
      </c>
      <c r="G1315" s="1" t="s">
        <v>128</v>
      </c>
      <c r="H1315" s="1" t="s">
        <v>176</v>
      </c>
      <c r="I1315" s="1" t="s">
        <v>172</v>
      </c>
      <c r="J1315" s="1" t="s">
        <v>125</v>
      </c>
      <c r="K1315" s="1" t="s">
        <v>163</v>
      </c>
      <c r="L1315" s="1">
        <v>2958719</v>
      </c>
      <c r="M1315" s="1" t="s">
        <v>302</v>
      </c>
      <c r="N1315" s="5">
        <f>DATE(2023,4,3)</f>
        <v>45019</v>
      </c>
      <c r="O1315" s="5">
        <f>DATE(2024,10,31)</f>
        <v>45596</v>
      </c>
      <c r="P1315" s="5">
        <f t="shared" si="469"/>
        <v>46691</v>
      </c>
      <c r="Q1315" s="1">
        <v>1200</v>
      </c>
      <c r="R1315" s="1">
        <v>800</v>
      </c>
      <c r="S1315" s="1">
        <f t="shared" si="470"/>
        <v>800</v>
      </c>
      <c r="T1315" s="1">
        <v>1.5</v>
      </c>
      <c r="U1315" s="1" t="str">
        <f t="shared" si="471"/>
        <v>SIM</v>
      </c>
      <c r="V1315" s="1">
        <f t="shared" si="472"/>
        <v>578</v>
      </c>
      <c r="W1315" s="4">
        <f t="shared" si="473"/>
        <v>1.3840830449826989</v>
      </c>
      <c r="X1315" s="4">
        <f t="shared" si="474"/>
        <v>505.1903114186851</v>
      </c>
      <c r="Y1315" s="4">
        <f t="shared" si="475"/>
        <v>0.63148788927335642</v>
      </c>
      <c r="AB1315" s="5">
        <f t="shared" si="476"/>
        <v>45292</v>
      </c>
      <c r="AC1315" s="5">
        <f t="shared" si="477"/>
        <v>45657</v>
      </c>
      <c r="AD1315" s="1">
        <v>30</v>
      </c>
      <c r="AE1315" s="1">
        <f t="shared" si="478"/>
        <v>0</v>
      </c>
      <c r="AF1315" s="1">
        <f t="shared" si="479"/>
        <v>0</v>
      </c>
      <c r="AG1315" s="1">
        <f t="shared" si="480"/>
        <v>305</v>
      </c>
      <c r="AH1315" s="1">
        <f t="shared" si="481"/>
        <v>0</v>
      </c>
      <c r="AI1315" s="1">
        <f t="shared" si="482"/>
        <v>0</v>
      </c>
      <c r="AJ1315" s="3">
        <f t="shared" si="483"/>
        <v>0.83333333333333337</v>
      </c>
      <c r="AK1315" s="3">
        <f t="shared" si="484"/>
        <v>0.52623990772779705</v>
      </c>
      <c r="AL1315" s="3">
        <f t="shared" si="485"/>
        <v>15.787197231833911</v>
      </c>
      <c r="AM1315" s="3">
        <f t="shared" si="486"/>
        <v>23.680795847750865</v>
      </c>
      <c r="AN1315" s="3">
        <f t="shared" si="487"/>
        <v>0</v>
      </c>
      <c r="AO1315" s="3">
        <f t="shared" si="488"/>
        <v>23.680795847750865</v>
      </c>
      <c r="AP1315" s="1" t="str">
        <f>INDEX({"EAD";"EAD";"EAD";"EAD MOOC";"EAD";"EAD";"EAD FP";"EAD";"PRESENCIAL";"PRESENCIAL";"PRESENCIAL";"PRESENCIAL"}, MATCH(CONCATENATE(E1315, ".", F1315),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 FP</v>
      </c>
    </row>
    <row r="1316" spans="1:42" x14ac:dyDescent="0.25">
      <c r="A1316" s="1" t="s">
        <v>27</v>
      </c>
      <c r="B1316" s="1" t="s">
        <v>66</v>
      </c>
      <c r="C1316" s="1" t="s">
        <v>29</v>
      </c>
      <c r="D1316" s="1" t="s">
        <v>67</v>
      </c>
      <c r="E1316" s="1" t="s">
        <v>120</v>
      </c>
      <c r="F1316" s="1" t="s">
        <v>21</v>
      </c>
      <c r="G1316" s="1" t="s">
        <v>140</v>
      </c>
      <c r="H1316" s="1" t="s">
        <v>211</v>
      </c>
      <c r="I1316" s="1" t="s">
        <v>124</v>
      </c>
      <c r="J1316" s="1" t="s">
        <v>125</v>
      </c>
      <c r="K1316" s="1" t="s">
        <v>109</v>
      </c>
      <c r="L1316" s="1">
        <v>3009924</v>
      </c>
      <c r="M1316" s="1" t="s">
        <v>1469</v>
      </c>
      <c r="N1316" s="5">
        <f>DATE(2023,7,31)</f>
        <v>45138</v>
      </c>
      <c r="O1316" s="5">
        <f>DATE(2026,7,31)</f>
        <v>46234</v>
      </c>
      <c r="P1316" s="5">
        <f t="shared" si="469"/>
        <v>47329</v>
      </c>
      <c r="Q1316" s="1">
        <v>3390</v>
      </c>
      <c r="R1316" s="1">
        <v>1600</v>
      </c>
      <c r="S1316" s="1">
        <f t="shared" si="470"/>
        <v>1600</v>
      </c>
      <c r="T1316" s="1">
        <v>1</v>
      </c>
      <c r="U1316" s="1" t="str">
        <f t="shared" si="471"/>
        <v>SIM</v>
      </c>
      <c r="V1316" s="1">
        <f t="shared" si="472"/>
        <v>1097</v>
      </c>
      <c r="W1316" s="4">
        <f t="shared" si="473"/>
        <v>1.4585232452142205</v>
      </c>
      <c r="X1316" s="4">
        <f t="shared" si="474"/>
        <v>532.36098450319048</v>
      </c>
      <c r="Y1316" s="4">
        <f t="shared" si="475"/>
        <v>0.66545123062898814</v>
      </c>
      <c r="AB1316" s="5">
        <f t="shared" si="476"/>
        <v>45292</v>
      </c>
      <c r="AC1316" s="5">
        <f t="shared" si="477"/>
        <v>45657</v>
      </c>
      <c r="AD1316" s="1">
        <v>35</v>
      </c>
      <c r="AE1316" s="1">
        <f t="shared" si="478"/>
        <v>366</v>
      </c>
      <c r="AF1316" s="1">
        <f t="shared" si="479"/>
        <v>0</v>
      </c>
      <c r="AG1316" s="1">
        <f t="shared" si="480"/>
        <v>0</v>
      </c>
      <c r="AH1316" s="1">
        <f t="shared" si="481"/>
        <v>0</v>
      </c>
      <c r="AI1316" s="1">
        <f t="shared" si="482"/>
        <v>0</v>
      </c>
      <c r="AJ1316" s="3">
        <f t="shared" si="483"/>
        <v>1</v>
      </c>
      <c r="AK1316" s="3">
        <f t="shared" si="484"/>
        <v>0.66545123062898814</v>
      </c>
      <c r="AL1316" s="3">
        <f t="shared" si="485"/>
        <v>23.290793072014583</v>
      </c>
      <c r="AM1316" s="3">
        <f t="shared" si="486"/>
        <v>23.290793072014583</v>
      </c>
      <c r="AN1316" s="3">
        <f t="shared" si="487"/>
        <v>0</v>
      </c>
      <c r="AO1316" s="3">
        <f t="shared" si="488"/>
        <v>23.290793072014583</v>
      </c>
      <c r="AP1316" s="1" t="str">
        <f>INDEX({"EAD";"EAD";"EAD";"EAD MOOC";"EAD";"EAD";"EAD FP";"EAD";"PRESENCIAL";"PRESENCIAL";"PRESENCIAL";"PRESENCIAL"}, MATCH(CONCATENATE(E1316, ".", F1316),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17" spans="1:42" x14ac:dyDescent="0.25">
      <c r="A1317" s="1" t="s">
        <v>27</v>
      </c>
      <c r="B1317" s="1" t="s">
        <v>66</v>
      </c>
      <c r="C1317" s="1" t="s">
        <v>29</v>
      </c>
      <c r="D1317" s="1" t="s">
        <v>67</v>
      </c>
      <c r="E1317" s="1" t="s">
        <v>120</v>
      </c>
      <c r="F1317" s="1" t="s">
        <v>21</v>
      </c>
      <c r="G1317" s="1" t="s">
        <v>128</v>
      </c>
      <c r="H1317" s="1" t="s">
        <v>1438</v>
      </c>
      <c r="I1317" s="1" t="s">
        <v>289</v>
      </c>
      <c r="J1317" s="1" t="s">
        <v>125</v>
      </c>
      <c r="K1317" s="1" t="s">
        <v>130</v>
      </c>
      <c r="L1317" s="1">
        <v>3009929</v>
      </c>
      <c r="M1317" s="1" t="s">
        <v>1470</v>
      </c>
      <c r="N1317" s="5">
        <f>DATE(2023,7,31)</f>
        <v>45138</v>
      </c>
      <c r="O1317" s="5">
        <f>DATE(2026,7,31)</f>
        <v>46234</v>
      </c>
      <c r="P1317" s="5">
        <f t="shared" si="469"/>
        <v>47329</v>
      </c>
      <c r="Q1317" s="1">
        <v>3821</v>
      </c>
      <c r="R1317" s="1">
        <v>1200</v>
      </c>
      <c r="S1317" s="1">
        <f t="shared" si="470"/>
        <v>3200</v>
      </c>
      <c r="T1317" s="1">
        <v>2</v>
      </c>
      <c r="U1317" s="1" t="str">
        <f t="shared" si="471"/>
        <v>SIM</v>
      </c>
      <c r="V1317" s="1">
        <f t="shared" si="472"/>
        <v>1097</v>
      </c>
      <c r="W1317" s="4">
        <f t="shared" si="473"/>
        <v>2.917046490428441</v>
      </c>
      <c r="X1317" s="4">
        <f t="shared" si="474"/>
        <v>1064.721969006381</v>
      </c>
      <c r="Y1317" s="4">
        <f t="shared" si="475"/>
        <v>1.3309024612579763</v>
      </c>
      <c r="AB1317" s="5">
        <f t="shared" si="476"/>
        <v>45292</v>
      </c>
      <c r="AC1317" s="5">
        <f t="shared" si="477"/>
        <v>45657</v>
      </c>
      <c r="AD1317" s="1">
        <v>32</v>
      </c>
      <c r="AE1317" s="1">
        <f t="shared" si="478"/>
        <v>366</v>
      </c>
      <c r="AF1317" s="1">
        <f t="shared" si="479"/>
        <v>0</v>
      </c>
      <c r="AG1317" s="1">
        <f t="shared" si="480"/>
        <v>0</v>
      </c>
      <c r="AH1317" s="1">
        <f t="shared" si="481"/>
        <v>0</v>
      </c>
      <c r="AI1317" s="1">
        <f t="shared" si="482"/>
        <v>0</v>
      </c>
      <c r="AJ1317" s="3">
        <f t="shared" si="483"/>
        <v>1</v>
      </c>
      <c r="AK1317" s="3">
        <f t="shared" si="484"/>
        <v>1.3309024612579763</v>
      </c>
      <c r="AL1317" s="3">
        <f t="shared" si="485"/>
        <v>42.588878760255241</v>
      </c>
      <c r="AM1317" s="3">
        <f t="shared" si="486"/>
        <v>85.177757520510482</v>
      </c>
      <c r="AN1317" s="3">
        <f t="shared" si="487"/>
        <v>0</v>
      </c>
      <c r="AO1317" s="3">
        <f t="shared" si="488"/>
        <v>85.177757520510482</v>
      </c>
      <c r="AP1317" s="1" t="str">
        <f>INDEX({"EAD";"EAD";"EAD";"EAD MOOC";"EAD";"EAD";"EAD FP";"EAD";"PRESENCIAL";"PRESENCIAL";"PRESENCIAL";"PRESENCIAL"}, MATCH(CONCATENATE(E1317, ".", F1317),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18" spans="1:42" x14ac:dyDescent="0.25">
      <c r="A1318" s="1" t="s">
        <v>27</v>
      </c>
      <c r="B1318" s="1" t="s">
        <v>66</v>
      </c>
      <c r="C1318" s="1" t="s">
        <v>29</v>
      </c>
      <c r="D1318" s="1" t="s">
        <v>67</v>
      </c>
      <c r="E1318" s="1" t="s">
        <v>120</v>
      </c>
      <c r="F1318" s="1" t="s">
        <v>21</v>
      </c>
      <c r="G1318" s="1" t="s">
        <v>128</v>
      </c>
      <c r="H1318" s="1" t="s">
        <v>559</v>
      </c>
      <c r="I1318" s="1" t="s">
        <v>289</v>
      </c>
      <c r="J1318" s="1" t="s">
        <v>125</v>
      </c>
      <c r="K1318" s="1" t="s">
        <v>130</v>
      </c>
      <c r="L1318" s="1">
        <v>3009932</v>
      </c>
      <c r="M1318" s="1" t="s">
        <v>1471</v>
      </c>
      <c r="N1318" s="5">
        <f>DATE(2023,7,31)</f>
        <v>45138</v>
      </c>
      <c r="O1318" s="5">
        <f>DATE(2026,7,31)</f>
        <v>46234</v>
      </c>
      <c r="P1318" s="5">
        <f t="shared" si="469"/>
        <v>47329</v>
      </c>
      <c r="Q1318" s="1">
        <v>3638</v>
      </c>
      <c r="R1318" s="1">
        <v>1200</v>
      </c>
      <c r="S1318" s="1">
        <f t="shared" si="470"/>
        <v>3200</v>
      </c>
      <c r="T1318" s="1">
        <v>2.5</v>
      </c>
      <c r="U1318" s="1" t="str">
        <f t="shared" si="471"/>
        <v>SIM</v>
      </c>
      <c r="V1318" s="1">
        <f t="shared" si="472"/>
        <v>1097</v>
      </c>
      <c r="W1318" s="4">
        <f t="shared" si="473"/>
        <v>2.917046490428441</v>
      </c>
      <c r="X1318" s="4">
        <f t="shared" si="474"/>
        <v>1064.721969006381</v>
      </c>
      <c r="Y1318" s="4">
        <f t="shared" si="475"/>
        <v>1.3309024612579763</v>
      </c>
      <c r="AB1318" s="5">
        <f t="shared" si="476"/>
        <v>45292</v>
      </c>
      <c r="AC1318" s="5">
        <f t="shared" si="477"/>
        <v>45657</v>
      </c>
      <c r="AD1318" s="1">
        <v>28</v>
      </c>
      <c r="AE1318" s="1">
        <f t="shared" si="478"/>
        <v>366</v>
      </c>
      <c r="AF1318" s="1">
        <f t="shared" si="479"/>
        <v>0</v>
      </c>
      <c r="AG1318" s="1">
        <f t="shared" si="480"/>
        <v>0</v>
      </c>
      <c r="AH1318" s="1">
        <f t="shared" si="481"/>
        <v>0</v>
      </c>
      <c r="AI1318" s="1">
        <f t="shared" si="482"/>
        <v>0</v>
      </c>
      <c r="AJ1318" s="3">
        <f t="shared" si="483"/>
        <v>1</v>
      </c>
      <c r="AK1318" s="3">
        <f t="shared" si="484"/>
        <v>1.3309024612579763</v>
      </c>
      <c r="AL1318" s="3">
        <f t="shared" si="485"/>
        <v>37.265268915223338</v>
      </c>
      <c r="AM1318" s="3">
        <f t="shared" si="486"/>
        <v>93.163172288058348</v>
      </c>
      <c r="AN1318" s="3">
        <f t="shared" si="487"/>
        <v>0</v>
      </c>
      <c r="AO1318" s="3">
        <f t="shared" si="488"/>
        <v>93.163172288058348</v>
      </c>
      <c r="AP1318" s="1" t="str">
        <f>INDEX({"EAD";"EAD";"EAD";"EAD MOOC";"EAD";"EAD";"EAD FP";"EAD";"PRESENCIAL";"PRESENCIAL";"PRESENCIAL";"PRESENCIAL"}, MATCH(CONCATENATE(E1318, ".", F1318),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19" spans="1:42" x14ac:dyDescent="0.25">
      <c r="A1319" s="1" t="s">
        <v>27</v>
      </c>
      <c r="B1319" s="1" t="s">
        <v>66</v>
      </c>
      <c r="C1319" s="1" t="s">
        <v>29</v>
      </c>
      <c r="D1319" s="1" t="s">
        <v>67</v>
      </c>
      <c r="E1319" s="1" t="s">
        <v>120</v>
      </c>
      <c r="F1319" s="1" t="s">
        <v>21</v>
      </c>
      <c r="G1319" s="1" t="s">
        <v>128</v>
      </c>
      <c r="H1319" s="1" t="s">
        <v>1169</v>
      </c>
      <c r="I1319" s="1" t="s">
        <v>124</v>
      </c>
      <c r="J1319" s="1" t="s">
        <v>125</v>
      </c>
      <c r="K1319" s="1" t="s">
        <v>130</v>
      </c>
      <c r="L1319" s="1">
        <v>3009935</v>
      </c>
      <c r="M1319" s="1" t="s">
        <v>1472</v>
      </c>
      <c r="N1319" s="5">
        <f>DATE(2023,7,31)</f>
        <v>45138</v>
      </c>
      <c r="O1319" s="5">
        <f>DATE(2026,7,31)</f>
        <v>46234</v>
      </c>
      <c r="P1319" s="5">
        <f t="shared" si="469"/>
        <v>47329</v>
      </c>
      <c r="Q1319" s="1">
        <v>3390</v>
      </c>
      <c r="R1319" s="1">
        <v>800</v>
      </c>
      <c r="S1319" s="1">
        <f t="shared" si="470"/>
        <v>3000</v>
      </c>
      <c r="T1319" s="1">
        <v>1.5</v>
      </c>
      <c r="U1319" s="1" t="str">
        <f t="shared" si="471"/>
        <v>SIM</v>
      </c>
      <c r="V1319" s="1">
        <f t="shared" si="472"/>
        <v>1097</v>
      </c>
      <c r="W1319" s="4">
        <f t="shared" si="473"/>
        <v>2.7347310847766635</v>
      </c>
      <c r="X1319" s="4">
        <f t="shared" si="474"/>
        <v>998.17684594348214</v>
      </c>
      <c r="Y1319" s="4">
        <f t="shared" si="475"/>
        <v>1.2477210574293527</v>
      </c>
      <c r="AB1319" s="5">
        <f t="shared" si="476"/>
        <v>45292</v>
      </c>
      <c r="AC1319" s="5">
        <f t="shared" si="477"/>
        <v>45657</v>
      </c>
      <c r="AD1319" s="1">
        <v>29</v>
      </c>
      <c r="AE1319" s="1">
        <f t="shared" si="478"/>
        <v>366</v>
      </c>
      <c r="AF1319" s="1">
        <f t="shared" si="479"/>
        <v>0</v>
      </c>
      <c r="AG1319" s="1">
        <f t="shared" si="480"/>
        <v>0</v>
      </c>
      <c r="AH1319" s="1">
        <f t="shared" si="481"/>
        <v>0</v>
      </c>
      <c r="AI1319" s="1">
        <f t="shared" si="482"/>
        <v>0</v>
      </c>
      <c r="AJ1319" s="3">
        <f t="shared" si="483"/>
        <v>1</v>
      </c>
      <c r="AK1319" s="3">
        <f t="shared" si="484"/>
        <v>1.2477210574293527</v>
      </c>
      <c r="AL1319" s="3">
        <f t="shared" si="485"/>
        <v>36.183910665451229</v>
      </c>
      <c r="AM1319" s="3">
        <f t="shared" si="486"/>
        <v>54.27586599817684</v>
      </c>
      <c r="AN1319" s="3">
        <f t="shared" si="487"/>
        <v>0</v>
      </c>
      <c r="AO1319" s="3">
        <f t="shared" si="488"/>
        <v>54.27586599817684</v>
      </c>
      <c r="AP1319" s="1" t="str">
        <f>INDEX({"EAD";"EAD";"EAD";"EAD MOOC";"EAD";"EAD";"EAD FP";"EAD";"PRESENCIAL";"PRESENCIAL";"PRESENCIAL";"PRESENCIAL"}, MATCH(CONCATENATE(E1319, ".", F1319),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20" spans="1:42" x14ac:dyDescent="0.25">
      <c r="A1320" s="1" t="s">
        <v>27</v>
      </c>
      <c r="B1320" s="1" t="s">
        <v>66</v>
      </c>
      <c r="C1320" s="1" t="s">
        <v>29</v>
      </c>
      <c r="D1320" s="1" t="s">
        <v>67</v>
      </c>
      <c r="E1320" s="1" t="s">
        <v>120</v>
      </c>
      <c r="F1320" s="1" t="s">
        <v>21</v>
      </c>
      <c r="G1320" s="1" t="s">
        <v>128</v>
      </c>
      <c r="H1320" s="1" t="s">
        <v>1438</v>
      </c>
      <c r="I1320" s="1" t="s">
        <v>289</v>
      </c>
      <c r="J1320" s="1" t="s">
        <v>125</v>
      </c>
      <c r="K1320" s="1" t="s">
        <v>130</v>
      </c>
      <c r="L1320" s="1">
        <v>3065386</v>
      </c>
      <c r="M1320" s="1" t="s">
        <v>1473</v>
      </c>
      <c r="N1320" s="5">
        <f>DATE(2024,1,31)</f>
        <v>45322</v>
      </c>
      <c r="O1320" s="5">
        <f>DATE(2027,1,31)</f>
        <v>46418</v>
      </c>
      <c r="P1320" s="5">
        <f t="shared" si="469"/>
        <v>47513</v>
      </c>
      <c r="Q1320" s="1">
        <v>3821</v>
      </c>
      <c r="R1320" s="1">
        <v>1200</v>
      </c>
      <c r="S1320" s="1">
        <f t="shared" si="470"/>
        <v>3200</v>
      </c>
      <c r="T1320" s="1">
        <v>2</v>
      </c>
      <c r="U1320" s="1" t="str">
        <f t="shared" si="471"/>
        <v>SIM</v>
      </c>
      <c r="V1320" s="1">
        <f t="shared" si="472"/>
        <v>1097</v>
      </c>
      <c r="W1320" s="4">
        <f t="shared" si="473"/>
        <v>2.917046490428441</v>
      </c>
      <c r="X1320" s="4">
        <f t="shared" si="474"/>
        <v>1064.721969006381</v>
      </c>
      <c r="Y1320" s="4">
        <f t="shared" si="475"/>
        <v>1.3309024612579763</v>
      </c>
      <c r="AB1320" s="5">
        <f t="shared" si="476"/>
        <v>45292</v>
      </c>
      <c r="AC1320" s="5">
        <f t="shared" si="477"/>
        <v>45657</v>
      </c>
      <c r="AD1320" s="1">
        <v>30</v>
      </c>
      <c r="AE1320" s="1">
        <f t="shared" si="478"/>
        <v>0</v>
      </c>
      <c r="AF1320" s="1">
        <f t="shared" si="479"/>
        <v>336</v>
      </c>
      <c r="AG1320" s="1">
        <f t="shared" si="480"/>
        <v>0</v>
      </c>
      <c r="AH1320" s="1">
        <f t="shared" si="481"/>
        <v>0</v>
      </c>
      <c r="AI1320" s="1">
        <f t="shared" si="482"/>
        <v>0</v>
      </c>
      <c r="AJ1320" s="3">
        <f t="shared" si="483"/>
        <v>0.91803278688524592</v>
      </c>
      <c r="AK1320" s="3">
        <f t="shared" si="484"/>
        <v>1.2218120955810929</v>
      </c>
      <c r="AL1320" s="3">
        <f t="shared" si="485"/>
        <v>36.654362867432788</v>
      </c>
      <c r="AM1320" s="3">
        <f t="shared" si="486"/>
        <v>73.308725734865575</v>
      </c>
      <c r="AN1320" s="3">
        <f t="shared" si="487"/>
        <v>0</v>
      </c>
      <c r="AO1320" s="3">
        <f t="shared" si="488"/>
        <v>73.308725734865575</v>
      </c>
      <c r="AP1320" s="1" t="str">
        <f>INDEX({"EAD";"EAD";"EAD";"EAD MOOC";"EAD";"EAD";"EAD FP";"EAD";"PRESENCIAL";"PRESENCIAL";"PRESENCIAL";"PRESENCIAL"}, MATCH(CONCATENATE(E1320, ".", F1320),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21" spans="1:42" x14ac:dyDescent="0.25">
      <c r="A1321" s="1" t="s">
        <v>27</v>
      </c>
      <c r="B1321" s="1" t="s">
        <v>66</v>
      </c>
      <c r="C1321" s="1" t="s">
        <v>29</v>
      </c>
      <c r="D1321" s="1" t="s">
        <v>67</v>
      </c>
      <c r="E1321" s="1" t="s">
        <v>120</v>
      </c>
      <c r="F1321" s="1" t="s">
        <v>21</v>
      </c>
      <c r="G1321" s="1" t="s">
        <v>128</v>
      </c>
      <c r="H1321" s="1" t="s">
        <v>559</v>
      </c>
      <c r="I1321" s="1" t="s">
        <v>289</v>
      </c>
      <c r="J1321" s="1" t="s">
        <v>125</v>
      </c>
      <c r="K1321" s="1" t="s">
        <v>130</v>
      </c>
      <c r="L1321" s="1">
        <v>3065387</v>
      </c>
      <c r="M1321" s="1" t="s">
        <v>1474</v>
      </c>
      <c r="N1321" s="5">
        <f>DATE(2024,1,31)</f>
        <v>45322</v>
      </c>
      <c r="O1321" s="5">
        <f>DATE(2027,1,31)</f>
        <v>46418</v>
      </c>
      <c r="P1321" s="5">
        <f t="shared" si="469"/>
        <v>47513</v>
      </c>
      <c r="Q1321" s="1">
        <v>3638</v>
      </c>
      <c r="R1321" s="1">
        <v>1200</v>
      </c>
      <c r="S1321" s="1">
        <f t="shared" si="470"/>
        <v>3200</v>
      </c>
      <c r="T1321" s="1">
        <v>2.5</v>
      </c>
      <c r="U1321" s="1" t="str">
        <f t="shared" si="471"/>
        <v>SIM</v>
      </c>
      <c r="V1321" s="1">
        <f t="shared" si="472"/>
        <v>1097</v>
      </c>
      <c r="W1321" s="4">
        <f t="shared" si="473"/>
        <v>2.917046490428441</v>
      </c>
      <c r="X1321" s="4">
        <f t="shared" si="474"/>
        <v>1064.721969006381</v>
      </c>
      <c r="Y1321" s="4">
        <f t="shared" si="475"/>
        <v>1.3309024612579763</v>
      </c>
      <c r="AB1321" s="5">
        <f t="shared" si="476"/>
        <v>45292</v>
      </c>
      <c r="AC1321" s="5">
        <f t="shared" si="477"/>
        <v>45657</v>
      </c>
      <c r="AD1321" s="1">
        <v>29</v>
      </c>
      <c r="AE1321" s="1">
        <f t="shared" si="478"/>
        <v>0</v>
      </c>
      <c r="AF1321" s="1">
        <f t="shared" si="479"/>
        <v>336</v>
      </c>
      <c r="AG1321" s="1">
        <f t="shared" si="480"/>
        <v>0</v>
      </c>
      <c r="AH1321" s="1">
        <f t="shared" si="481"/>
        <v>0</v>
      </c>
      <c r="AI1321" s="1">
        <f t="shared" si="482"/>
        <v>0</v>
      </c>
      <c r="AJ1321" s="3">
        <f t="shared" si="483"/>
        <v>0.91803278688524592</v>
      </c>
      <c r="AK1321" s="3">
        <f t="shared" si="484"/>
        <v>1.2218120955810929</v>
      </c>
      <c r="AL1321" s="3">
        <f t="shared" si="485"/>
        <v>35.432550771851695</v>
      </c>
      <c r="AM1321" s="3">
        <f t="shared" si="486"/>
        <v>88.581376929629243</v>
      </c>
      <c r="AN1321" s="3">
        <f t="shared" si="487"/>
        <v>0</v>
      </c>
      <c r="AO1321" s="3">
        <f t="shared" si="488"/>
        <v>88.581376929629243</v>
      </c>
      <c r="AP1321" s="1" t="str">
        <f>INDEX({"EAD";"EAD";"EAD";"EAD MOOC";"EAD";"EAD";"EAD FP";"EAD";"PRESENCIAL";"PRESENCIAL";"PRESENCIAL";"PRESENCIAL"}, MATCH(CONCATENATE(E1321, ".", F1321),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22" spans="1:42" x14ac:dyDescent="0.25">
      <c r="A1322" s="1" t="s">
        <v>27</v>
      </c>
      <c r="B1322" s="1" t="s">
        <v>66</v>
      </c>
      <c r="C1322" s="1" t="s">
        <v>29</v>
      </c>
      <c r="D1322" s="1" t="s">
        <v>67</v>
      </c>
      <c r="E1322" s="1" t="s">
        <v>120</v>
      </c>
      <c r="F1322" s="1" t="s">
        <v>21</v>
      </c>
      <c r="G1322" s="1" t="s">
        <v>128</v>
      </c>
      <c r="H1322" s="1" t="s">
        <v>1169</v>
      </c>
      <c r="I1322" s="1" t="s">
        <v>124</v>
      </c>
      <c r="J1322" s="1" t="s">
        <v>125</v>
      </c>
      <c r="K1322" s="1" t="s">
        <v>130</v>
      </c>
      <c r="L1322" s="1">
        <v>3065388</v>
      </c>
      <c r="M1322" s="1" t="s">
        <v>1475</v>
      </c>
      <c r="N1322" s="5">
        <f>DATE(2024,1,31)</f>
        <v>45322</v>
      </c>
      <c r="O1322" s="5">
        <f>DATE(2027,1,31)</f>
        <v>46418</v>
      </c>
      <c r="P1322" s="5">
        <f t="shared" si="469"/>
        <v>47513</v>
      </c>
      <c r="Q1322" s="1">
        <v>3390</v>
      </c>
      <c r="R1322" s="1">
        <v>800</v>
      </c>
      <c r="S1322" s="1">
        <f t="shared" si="470"/>
        <v>3000</v>
      </c>
      <c r="T1322" s="1">
        <v>1.5</v>
      </c>
      <c r="U1322" s="1" t="str">
        <f t="shared" si="471"/>
        <v>SIM</v>
      </c>
      <c r="V1322" s="1">
        <f t="shared" si="472"/>
        <v>1097</v>
      </c>
      <c r="W1322" s="4">
        <f t="shared" si="473"/>
        <v>2.7347310847766635</v>
      </c>
      <c r="X1322" s="4">
        <f t="shared" si="474"/>
        <v>998.17684594348214</v>
      </c>
      <c r="Y1322" s="4">
        <f t="shared" si="475"/>
        <v>1.2477210574293527</v>
      </c>
      <c r="AB1322" s="5">
        <f t="shared" si="476"/>
        <v>45292</v>
      </c>
      <c r="AC1322" s="5">
        <f t="shared" si="477"/>
        <v>45657</v>
      </c>
      <c r="AD1322" s="1">
        <v>32</v>
      </c>
      <c r="AE1322" s="1">
        <f t="shared" si="478"/>
        <v>0</v>
      </c>
      <c r="AF1322" s="1">
        <f t="shared" si="479"/>
        <v>336</v>
      </c>
      <c r="AG1322" s="1">
        <f t="shared" si="480"/>
        <v>0</v>
      </c>
      <c r="AH1322" s="1">
        <f t="shared" si="481"/>
        <v>0</v>
      </c>
      <c r="AI1322" s="1">
        <f t="shared" si="482"/>
        <v>0</v>
      </c>
      <c r="AJ1322" s="3">
        <f t="shared" si="483"/>
        <v>0.91803278688524592</v>
      </c>
      <c r="AK1322" s="3">
        <f t="shared" si="484"/>
        <v>1.1454488396072746</v>
      </c>
      <c r="AL1322" s="3">
        <f t="shared" si="485"/>
        <v>36.654362867432788</v>
      </c>
      <c r="AM1322" s="3">
        <f t="shared" si="486"/>
        <v>54.981544301149185</v>
      </c>
      <c r="AN1322" s="3">
        <f t="shared" si="487"/>
        <v>0</v>
      </c>
      <c r="AO1322" s="3">
        <f t="shared" si="488"/>
        <v>54.981544301149185</v>
      </c>
      <c r="AP1322" s="1" t="str">
        <f>INDEX({"EAD";"EAD";"EAD";"EAD MOOC";"EAD";"EAD";"EAD FP";"EAD";"PRESENCIAL";"PRESENCIAL";"PRESENCIAL";"PRESENCIAL"}, MATCH(CONCATENATE(E1322, ".", F1322),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23" spans="1:42" x14ac:dyDescent="0.25">
      <c r="A1323" s="1" t="s">
        <v>27</v>
      </c>
      <c r="B1323" s="1" t="s">
        <v>66</v>
      </c>
      <c r="C1323" s="1" t="s">
        <v>29</v>
      </c>
      <c r="D1323" s="1" t="s">
        <v>67</v>
      </c>
      <c r="E1323" s="1" t="s">
        <v>120</v>
      </c>
      <c r="F1323" s="1" t="s">
        <v>21</v>
      </c>
      <c r="G1323" s="1" t="s">
        <v>140</v>
      </c>
      <c r="H1323" s="1" t="s">
        <v>211</v>
      </c>
      <c r="I1323" s="1" t="s">
        <v>124</v>
      </c>
      <c r="J1323" s="1" t="s">
        <v>125</v>
      </c>
      <c r="K1323" s="1" t="s">
        <v>109</v>
      </c>
      <c r="L1323" s="1">
        <v>3065389</v>
      </c>
      <c r="M1323" s="1" t="s">
        <v>1476</v>
      </c>
      <c r="N1323" s="5">
        <f>DATE(2024,1,31)</f>
        <v>45322</v>
      </c>
      <c r="O1323" s="5">
        <f>DATE(2027,1,31)</f>
        <v>46418</v>
      </c>
      <c r="P1323" s="5">
        <f t="shared" si="469"/>
        <v>47513</v>
      </c>
      <c r="Q1323" s="1">
        <v>2058</v>
      </c>
      <c r="R1323" s="1">
        <v>1600</v>
      </c>
      <c r="S1323" s="1">
        <f t="shared" si="470"/>
        <v>1600</v>
      </c>
      <c r="T1323" s="1">
        <v>1</v>
      </c>
      <c r="U1323" s="1" t="str">
        <f t="shared" si="471"/>
        <v>SIM</v>
      </c>
      <c r="V1323" s="1">
        <f t="shared" si="472"/>
        <v>1097</v>
      </c>
      <c r="W1323" s="4">
        <f t="shared" si="473"/>
        <v>1.4585232452142205</v>
      </c>
      <c r="X1323" s="4">
        <f t="shared" si="474"/>
        <v>532.36098450319048</v>
      </c>
      <c r="Y1323" s="4">
        <f t="shared" si="475"/>
        <v>0.66545123062898814</v>
      </c>
      <c r="AB1323" s="5">
        <f t="shared" si="476"/>
        <v>45292</v>
      </c>
      <c r="AC1323" s="5">
        <f t="shared" si="477"/>
        <v>45657</v>
      </c>
      <c r="AD1323" s="1">
        <v>37</v>
      </c>
      <c r="AE1323" s="1">
        <f t="shared" si="478"/>
        <v>0</v>
      </c>
      <c r="AF1323" s="1">
        <f t="shared" si="479"/>
        <v>336</v>
      </c>
      <c r="AG1323" s="1">
        <f t="shared" si="480"/>
        <v>0</v>
      </c>
      <c r="AH1323" s="1">
        <f t="shared" si="481"/>
        <v>0</v>
      </c>
      <c r="AI1323" s="1">
        <f t="shared" si="482"/>
        <v>0</v>
      </c>
      <c r="AJ1323" s="3">
        <f t="shared" si="483"/>
        <v>0.91803278688524592</v>
      </c>
      <c r="AK1323" s="3">
        <f t="shared" si="484"/>
        <v>0.61090604779054647</v>
      </c>
      <c r="AL1323" s="3">
        <f t="shared" si="485"/>
        <v>22.60352376825022</v>
      </c>
      <c r="AM1323" s="3">
        <f t="shared" si="486"/>
        <v>22.60352376825022</v>
      </c>
      <c r="AN1323" s="3">
        <f t="shared" si="487"/>
        <v>0</v>
      </c>
      <c r="AO1323" s="3">
        <f t="shared" si="488"/>
        <v>22.60352376825022</v>
      </c>
      <c r="AP1323" s="1" t="str">
        <f>INDEX({"EAD";"EAD";"EAD";"EAD MOOC";"EAD";"EAD";"EAD FP";"EAD";"PRESENCIAL";"PRESENCIAL";"PRESENCIAL";"PRESENCIAL"}, MATCH(CONCATENATE(E1323, ".", F1323),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24" spans="1:42" x14ac:dyDescent="0.25">
      <c r="A1324" s="1" t="s">
        <v>27</v>
      </c>
      <c r="B1324" s="1" t="s">
        <v>66</v>
      </c>
      <c r="C1324" s="1" t="s">
        <v>29</v>
      </c>
      <c r="D1324" s="1" t="s">
        <v>67</v>
      </c>
      <c r="E1324" s="1" t="s">
        <v>120</v>
      </c>
      <c r="F1324" s="1" t="s">
        <v>447</v>
      </c>
      <c r="G1324" s="1" t="s">
        <v>161</v>
      </c>
      <c r="H1324" s="1" t="s">
        <v>162</v>
      </c>
      <c r="I1324" s="1" t="s">
        <v>124</v>
      </c>
      <c r="J1324" s="1" t="s">
        <v>125</v>
      </c>
      <c r="K1324" s="1" t="s">
        <v>109</v>
      </c>
      <c r="L1324" s="1">
        <v>3115370</v>
      </c>
      <c r="M1324" s="1" t="s">
        <v>1477</v>
      </c>
      <c r="N1324" s="5">
        <f>DATE(2024,4,29)</f>
        <v>45411</v>
      </c>
      <c r="O1324" s="5">
        <f>DATE(2024,5,10)</f>
        <v>45422</v>
      </c>
      <c r="P1324" s="5">
        <f t="shared" si="469"/>
        <v>45422</v>
      </c>
      <c r="Q1324" s="1">
        <v>20</v>
      </c>
      <c r="R1324" s="1">
        <v>1600</v>
      </c>
      <c r="S1324" s="1">
        <f t="shared" si="470"/>
        <v>20</v>
      </c>
      <c r="T1324" s="1">
        <v>1</v>
      </c>
      <c r="U1324" s="1" t="str">
        <f t="shared" si="471"/>
        <v>SIM</v>
      </c>
      <c r="V1324" s="1">
        <f t="shared" si="472"/>
        <v>12</v>
      </c>
      <c r="W1324" s="4">
        <f t="shared" si="473"/>
        <v>1.6666666666666667</v>
      </c>
      <c r="X1324" s="4">
        <f t="shared" si="474"/>
        <v>20</v>
      </c>
      <c r="Y1324" s="4">
        <f t="shared" si="475"/>
        <v>2.5000000000000001E-2</v>
      </c>
      <c r="AB1324" s="5">
        <f t="shared" si="476"/>
        <v>45292</v>
      </c>
      <c r="AC1324" s="5">
        <f t="shared" si="477"/>
        <v>45657</v>
      </c>
      <c r="AD1324" s="1">
        <v>20</v>
      </c>
      <c r="AE1324" s="1">
        <f t="shared" si="478"/>
        <v>0</v>
      </c>
      <c r="AF1324" s="1">
        <f t="shared" si="479"/>
        <v>0</v>
      </c>
      <c r="AG1324" s="1">
        <f t="shared" si="480"/>
        <v>0</v>
      </c>
      <c r="AH1324" s="1">
        <f t="shared" si="481"/>
        <v>12</v>
      </c>
      <c r="AI1324" s="1">
        <f t="shared" si="482"/>
        <v>0</v>
      </c>
      <c r="AJ1324" s="3">
        <f t="shared" si="483"/>
        <v>1</v>
      </c>
      <c r="AK1324" s="3">
        <f t="shared" si="484"/>
        <v>2.5000000000000001E-2</v>
      </c>
      <c r="AL1324" s="3">
        <f t="shared" si="485"/>
        <v>0.5</v>
      </c>
      <c r="AM1324" s="3">
        <f t="shared" si="486"/>
        <v>0.5</v>
      </c>
      <c r="AN1324" s="3">
        <f t="shared" si="487"/>
        <v>0</v>
      </c>
      <c r="AO1324" s="3">
        <f t="shared" si="488"/>
        <v>0.5</v>
      </c>
      <c r="AP1324" s="1" t="str">
        <f>INDEX({"EAD";"EAD";"EAD";"EAD MOOC";"EAD";"EAD";"EAD FP";"EAD";"PRESENCIAL";"PRESENCIAL";"PRESENCIAL";"PRESENCIAL"}, MATCH(CONCATENATE(E1324, ".", F1324),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25" spans="1:42" x14ac:dyDescent="0.25">
      <c r="A1325" s="1" t="s">
        <v>27</v>
      </c>
      <c r="B1325" s="1" t="s">
        <v>66</v>
      </c>
      <c r="C1325" s="1" t="s">
        <v>29</v>
      </c>
      <c r="D1325" s="1" t="s">
        <v>67</v>
      </c>
      <c r="E1325" s="1" t="s">
        <v>120</v>
      </c>
      <c r="F1325" s="1" t="s">
        <v>447</v>
      </c>
      <c r="G1325" s="1" t="s">
        <v>161</v>
      </c>
      <c r="H1325" s="1" t="s">
        <v>1478</v>
      </c>
      <c r="I1325" s="1" t="s">
        <v>224</v>
      </c>
      <c r="J1325" s="1" t="s">
        <v>125</v>
      </c>
      <c r="K1325" s="1" t="s">
        <v>109</v>
      </c>
      <c r="L1325" s="1">
        <v>3113930</v>
      </c>
      <c r="M1325" s="1" t="s">
        <v>1479</v>
      </c>
      <c r="N1325" s="5">
        <f>DATE(2024,5,9)</f>
        <v>45421</v>
      </c>
      <c r="O1325" s="5">
        <f>DATE(2024,6,10)</f>
        <v>45453</v>
      </c>
      <c r="P1325" s="5">
        <f t="shared" si="469"/>
        <v>45453</v>
      </c>
      <c r="Q1325" s="1">
        <v>40</v>
      </c>
      <c r="R1325" s="1">
        <v>160</v>
      </c>
      <c r="S1325" s="1">
        <f t="shared" si="470"/>
        <v>40</v>
      </c>
      <c r="T1325" s="1">
        <v>1</v>
      </c>
      <c r="U1325" s="1" t="str">
        <f t="shared" si="471"/>
        <v>SIM</v>
      </c>
      <c r="V1325" s="1">
        <f t="shared" si="472"/>
        <v>33</v>
      </c>
      <c r="W1325" s="4">
        <f t="shared" si="473"/>
        <v>1.2121212121212122</v>
      </c>
      <c r="X1325" s="4">
        <f t="shared" si="474"/>
        <v>40</v>
      </c>
      <c r="Y1325" s="4">
        <f t="shared" si="475"/>
        <v>0.05</v>
      </c>
      <c r="AB1325" s="5">
        <f t="shared" si="476"/>
        <v>45292</v>
      </c>
      <c r="AC1325" s="5">
        <f t="shared" si="477"/>
        <v>45657</v>
      </c>
      <c r="AD1325" s="1">
        <v>20</v>
      </c>
      <c r="AE1325" s="1">
        <f t="shared" si="478"/>
        <v>0</v>
      </c>
      <c r="AF1325" s="1">
        <f t="shared" si="479"/>
        <v>0</v>
      </c>
      <c r="AG1325" s="1">
        <f t="shared" si="480"/>
        <v>0</v>
      </c>
      <c r="AH1325" s="1">
        <f t="shared" si="481"/>
        <v>33</v>
      </c>
      <c r="AI1325" s="1">
        <f t="shared" si="482"/>
        <v>0</v>
      </c>
      <c r="AJ1325" s="3">
        <f t="shared" si="483"/>
        <v>1</v>
      </c>
      <c r="AK1325" s="3">
        <f t="shared" si="484"/>
        <v>0.05</v>
      </c>
      <c r="AL1325" s="3">
        <f t="shared" si="485"/>
        <v>1</v>
      </c>
      <c r="AM1325" s="3">
        <f t="shared" si="486"/>
        <v>1</v>
      </c>
      <c r="AN1325" s="3">
        <f t="shared" si="487"/>
        <v>0</v>
      </c>
      <c r="AO1325" s="3">
        <f t="shared" si="488"/>
        <v>1</v>
      </c>
      <c r="AP1325" s="1" t="str">
        <f>INDEX({"EAD";"EAD";"EAD";"EAD MOOC";"EAD";"EAD";"EAD FP";"EAD";"PRESENCIAL";"PRESENCIAL";"PRESENCIAL";"PRESENCIAL"}, MATCH(CONCATENATE(E1325, ".", F1325),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26" spans="1:42" x14ac:dyDescent="0.25">
      <c r="A1326" s="1" t="s">
        <v>27</v>
      </c>
      <c r="B1326" s="1" t="s">
        <v>66</v>
      </c>
      <c r="C1326" s="1" t="s">
        <v>29</v>
      </c>
      <c r="D1326" s="1" t="s">
        <v>67</v>
      </c>
      <c r="E1326" s="1" t="s">
        <v>120</v>
      </c>
      <c r="F1326" s="1" t="s">
        <v>447</v>
      </c>
      <c r="G1326" s="1" t="s">
        <v>161</v>
      </c>
      <c r="H1326" s="1" t="s">
        <v>1478</v>
      </c>
      <c r="I1326" s="1" t="s">
        <v>224</v>
      </c>
      <c r="J1326" s="1" t="s">
        <v>125</v>
      </c>
      <c r="K1326" s="1" t="s">
        <v>109</v>
      </c>
      <c r="L1326" s="1">
        <v>3113933</v>
      </c>
      <c r="M1326" s="1" t="s">
        <v>1480</v>
      </c>
      <c r="N1326" s="5">
        <f>DATE(2024,6,4)</f>
        <v>45447</v>
      </c>
      <c r="O1326" s="5">
        <f>DATE(2024,7,31)</f>
        <v>45504</v>
      </c>
      <c r="P1326" s="5">
        <f t="shared" si="469"/>
        <v>45504</v>
      </c>
      <c r="Q1326" s="1">
        <v>40</v>
      </c>
      <c r="R1326" s="1">
        <v>160</v>
      </c>
      <c r="S1326" s="1">
        <f t="shared" si="470"/>
        <v>40</v>
      </c>
      <c r="T1326" s="1">
        <v>1</v>
      </c>
      <c r="U1326" s="1" t="str">
        <f t="shared" si="471"/>
        <v>SIM</v>
      </c>
      <c r="V1326" s="1">
        <f t="shared" si="472"/>
        <v>58</v>
      </c>
      <c r="W1326" s="4">
        <f t="shared" si="473"/>
        <v>0.68965517241379315</v>
      </c>
      <c r="X1326" s="4">
        <f t="shared" si="474"/>
        <v>40</v>
      </c>
      <c r="Y1326" s="4">
        <f t="shared" si="475"/>
        <v>0.05</v>
      </c>
      <c r="AB1326" s="5">
        <f t="shared" si="476"/>
        <v>45292</v>
      </c>
      <c r="AC1326" s="5">
        <f t="shared" si="477"/>
        <v>45657</v>
      </c>
      <c r="AD1326" s="1">
        <v>25</v>
      </c>
      <c r="AE1326" s="1">
        <f t="shared" si="478"/>
        <v>0</v>
      </c>
      <c r="AF1326" s="1">
        <f t="shared" si="479"/>
        <v>0</v>
      </c>
      <c r="AG1326" s="1">
        <f t="shared" si="480"/>
        <v>0</v>
      </c>
      <c r="AH1326" s="1">
        <f t="shared" si="481"/>
        <v>58</v>
      </c>
      <c r="AI1326" s="1">
        <f t="shared" si="482"/>
        <v>0</v>
      </c>
      <c r="AJ1326" s="3">
        <f t="shared" si="483"/>
        <v>1</v>
      </c>
      <c r="AK1326" s="3">
        <f t="shared" si="484"/>
        <v>0.05</v>
      </c>
      <c r="AL1326" s="3">
        <f t="shared" si="485"/>
        <v>1.25</v>
      </c>
      <c r="AM1326" s="3">
        <f t="shared" si="486"/>
        <v>1.25</v>
      </c>
      <c r="AN1326" s="3">
        <f t="shared" si="487"/>
        <v>0</v>
      </c>
      <c r="AO1326" s="3">
        <f t="shared" si="488"/>
        <v>1.25</v>
      </c>
      <c r="AP1326" s="1" t="str">
        <f>INDEX({"EAD";"EAD";"EAD";"EAD MOOC";"EAD";"EAD";"EAD FP";"EAD";"PRESENCIAL";"PRESENCIAL";"PRESENCIAL";"PRESENCIAL"}, MATCH(CONCATENATE(E1326, ".", F1326),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27" spans="1:42" x14ac:dyDescent="0.25">
      <c r="A1327" s="1" t="s">
        <v>27</v>
      </c>
      <c r="B1327" s="1" t="s">
        <v>66</v>
      </c>
      <c r="C1327" s="1" t="s">
        <v>29</v>
      </c>
      <c r="D1327" s="1" t="s">
        <v>67</v>
      </c>
      <c r="E1327" s="1" t="s">
        <v>120</v>
      </c>
      <c r="F1327" s="1" t="s">
        <v>447</v>
      </c>
      <c r="G1327" s="1" t="s">
        <v>161</v>
      </c>
      <c r="H1327" s="1" t="s">
        <v>162</v>
      </c>
      <c r="I1327" s="1" t="s">
        <v>124</v>
      </c>
      <c r="J1327" s="1" t="s">
        <v>125</v>
      </c>
      <c r="K1327" s="1" t="s">
        <v>109</v>
      </c>
      <c r="L1327" s="1">
        <v>3133464</v>
      </c>
      <c r="M1327" s="1" t="s">
        <v>1481</v>
      </c>
      <c r="N1327" s="5">
        <f>DATE(2024,6,16)</f>
        <v>45459</v>
      </c>
      <c r="O1327" s="5">
        <f>DATE(2024,7,31)</f>
        <v>45504</v>
      </c>
      <c r="P1327" s="5">
        <f t="shared" si="469"/>
        <v>45504</v>
      </c>
      <c r="Q1327" s="1">
        <v>20</v>
      </c>
      <c r="R1327" s="1">
        <v>1600</v>
      </c>
      <c r="S1327" s="1">
        <f t="shared" si="470"/>
        <v>20</v>
      </c>
      <c r="T1327" s="1">
        <v>1</v>
      </c>
      <c r="U1327" s="1" t="str">
        <f t="shared" si="471"/>
        <v>SIM</v>
      </c>
      <c r="V1327" s="1">
        <f t="shared" si="472"/>
        <v>46</v>
      </c>
      <c r="W1327" s="4">
        <f t="shared" si="473"/>
        <v>0.43478260869565216</v>
      </c>
      <c r="X1327" s="4">
        <f t="shared" si="474"/>
        <v>20</v>
      </c>
      <c r="Y1327" s="4">
        <f t="shared" si="475"/>
        <v>2.5000000000000001E-2</v>
      </c>
      <c r="AB1327" s="5">
        <f t="shared" si="476"/>
        <v>45292</v>
      </c>
      <c r="AC1327" s="5">
        <f t="shared" si="477"/>
        <v>45657</v>
      </c>
      <c r="AD1327" s="1">
        <v>25</v>
      </c>
      <c r="AE1327" s="1">
        <f t="shared" si="478"/>
        <v>0</v>
      </c>
      <c r="AF1327" s="1">
        <f t="shared" si="479"/>
        <v>0</v>
      </c>
      <c r="AG1327" s="1">
        <f t="shared" si="480"/>
        <v>0</v>
      </c>
      <c r="AH1327" s="1">
        <f t="shared" si="481"/>
        <v>46</v>
      </c>
      <c r="AI1327" s="1">
        <f t="shared" si="482"/>
        <v>0</v>
      </c>
      <c r="AJ1327" s="3">
        <f t="shared" si="483"/>
        <v>1</v>
      </c>
      <c r="AK1327" s="3">
        <f t="shared" si="484"/>
        <v>2.5000000000000001E-2</v>
      </c>
      <c r="AL1327" s="3">
        <f t="shared" si="485"/>
        <v>0.625</v>
      </c>
      <c r="AM1327" s="3">
        <f t="shared" si="486"/>
        <v>0.625</v>
      </c>
      <c r="AN1327" s="3">
        <f t="shared" si="487"/>
        <v>0</v>
      </c>
      <c r="AO1327" s="3">
        <f t="shared" si="488"/>
        <v>0.625</v>
      </c>
      <c r="AP1327" s="1" t="str">
        <f>INDEX({"EAD";"EAD";"EAD";"EAD MOOC";"EAD";"EAD";"EAD FP";"EAD";"PRESENCIAL";"PRESENCIAL";"PRESENCIAL";"PRESENCIAL"}, MATCH(CONCATENATE(E1327, ".", F1327),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28" spans="1:42" x14ac:dyDescent="0.25">
      <c r="A1328" s="1" t="s">
        <v>27</v>
      </c>
      <c r="B1328" s="1" t="s">
        <v>66</v>
      </c>
      <c r="C1328" s="1" t="s">
        <v>29</v>
      </c>
      <c r="D1328" s="1" t="s">
        <v>67</v>
      </c>
      <c r="E1328" s="1" t="s">
        <v>120</v>
      </c>
      <c r="F1328" s="1" t="s">
        <v>1345</v>
      </c>
      <c r="G1328" s="1" t="s">
        <v>161</v>
      </c>
      <c r="H1328" s="1" t="s">
        <v>1482</v>
      </c>
      <c r="I1328" s="1" t="s">
        <v>289</v>
      </c>
      <c r="J1328" s="1" t="s">
        <v>125</v>
      </c>
      <c r="K1328" s="1" t="s">
        <v>1347</v>
      </c>
      <c r="L1328" s="1">
        <v>3125368</v>
      </c>
      <c r="M1328" s="1" t="s">
        <v>1483</v>
      </c>
      <c r="N1328" s="5">
        <f>DATE(2024,7,1)</f>
        <v>45474</v>
      </c>
      <c r="O1328" s="5">
        <f>DATE(2024,10,2)</f>
        <v>45567</v>
      </c>
      <c r="P1328" s="5">
        <f t="shared" si="469"/>
        <v>45567</v>
      </c>
      <c r="Q1328" s="1">
        <v>200</v>
      </c>
      <c r="R1328" s="1">
        <v>180</v>
      </c>
      <c r="S1328" s="1">
        <f t="shared" si="470"/>
        <v>200</v>
      </c>
      <c r="T1328" s="1">
        <v>2.5</v>
      </c>
      <c r="U1328" s="1" t="str">
        <f t="shared" si="471"/>
        <v>SIM</v>
      </c>
      <c r="V1328" s="1">
        <f t="shared" si="472"/>
        <v>94</v>
      </c>
      <c r="W1328" s="4">
        <f t="shared" si="473"/>
        <v>2.1276595744680851</v>
      </c>
      <c r="X1328" s="4">
        <f t="shared" si="474"/>
        <v>200</v>
      </c>
      <c r="Y1328" s="4">
        <f t="shared" si="475"/>
        <v>0.25</v>
      </c>
      <c r="AB1328" s="5">
        <f t="shared" si="476"/>
        <v>45292</v>
      </c>
      <c r="AC1328" s="5">
        <f t="shared" si="477"/>
        <v>45657</v>
      </c>
      <c r="AD1328" s="1">
        <v>20</v>
      </c>
      <c r="AE1328" s="1">
        <f t="shared" si="478"/>
        <v>0</v>
      </c>
      <c r="AF1328" s="1">
        <f t="shared" si="479"/>
        <v>0</v>
      </c>
      <c r="AG1328" s="1">
        <f t="shared" si="480"/>
        <v>0</v>
      </c>
      <c r="AH1328" s="1">
        <f t="shared" si="481"/>
        <v>94</v>
      </c>
      <c r="AI1328" s="1">
        <f t="shared" si="482"/>
        <v>0</v>
      </c>
      <c r="AJ1328" s="3">
        <f t="shared" si="483"/>
        <v>1</v>
      </c>
      <c r="AK1328" s="3">
        <f t="shared" si="484"/>
        <v>0.25</v>
      </c>
      <c r="AL1328" s="3">
        <f t="shared" si="485"/>
        <v>5</v>
      </c>
      <c r="AM1328" s="3">
        <f t="shared" si="486"/>
        <v>12.5</v>
      </c>
      <c r="AN1328" s="3">
        <f t="shared" si="487"/>
        <v>0</v>
      </c>
      <c r="AO1328" s="3">
        <f t="shared" si="488"/>
        <v>12.5</v>
      </c>
      <c r="AP1328" s="1" t="str">
        <f>INDEX({"EAD";"EAD";"EAD";"EAD MOOC";"EAD";"EAD";"EAD FP";"EAD";"PRESENCIAL";"PRESENCIAL";"PRESENCIAL";"PRESENCIAL"}, MATCH(CONCATENATE(E1328, ".", F1328),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29" spans="1:42" x14ac:dyDescent="0.25">
      <c r="A1329" s="1" t="s">
        <v>27</v>
      </c>
      <c r="B1329" s="1" t="s">
        <v>66</v>
      </c>
      <c r="C1329" s="1" t="s">
        <v>29</v>
      </c>
      <c r="D1329" s="1" t="s">
        <v>67</v>
      </c>
      <c r="E1329" s="1" t="s">
        <v>120</v>
      </c>
      <c r="F1329" s="1" t="s">
        <v>1345</v>
      </c>
      <c r="G1329" s="1" t="s">
        <v>161</v>
      </c>
      <c r="H1329" s="1" t="s">
        <v>1482</v>
      </c>
      <c r="I1329" s="1" t="s">
        <v>289</v>
      </c>
      <c r="J1329" s="1" t="s">
        <v>125</v>
      </c>
      <c r="K1329" s="1" t="s">
        <v>1347</v>
      </c>
      <c r="L1329" s="1">
        <v>3125371</v>
      </c>
      <c r="M1329" s="1" t="s">
        <v>1484</v>
      </c>
      <c r="N1329" s="5">
        <f>DATE(2024,7,1)</f>
        <v>45474</v>
      </c>
      <c r="O1329" s="5">
        <f>DATE(2024,9,2)</f>
        <v>45537</v>
      </c>
      <c r="P1329" s="5">
        <f t="shared" si="469"/>
        <v>45537</v>
      </c>
      <c r="Q1329" s="1">
        <v>200</v>
      </c>
      <c r="R1329" s="1">
        <v>180</v>
      </c>
      <c r="S1329" s="1">
        <f t="shared" si="470"/>
        <v>200</v>
      </c>
      <c r="T1329" s="1">
        <v>2.5</v>
      </c>
      <c r="U1329" s="1" t="str">
        <f t="shared" si="471"/>
        <v>SIM</v>
      </c>
      <c r="V1329" s="1">
        <f t="shared" si="472"/>
        <v>64</v>
      </c>
      <c r="W1329" s="4">
        <f t="shared" si="473"/>
        <v>3.125</v>
      </c>
      <c r="X1329" s="4">
        <f t="shared" si="474"/>
        <v>200</v>
      </c>
      <c r="Y1329" s="4">
        <f t="shared" si="475"/>
        <v>0.25</v>
      </c>
      <c r="AB1329" s="5">
        <f t="shared" si="476"/>
        <v>45292</v>
      </c>
      <c r="AC1329" s="5">
        <f t="shared" si="477"/>
        <v>45657</v>
      </c>
      <c r="AD1329" s="1">
        <v>16</v>
      </c>
      <c r="AE1329" s="1">
        <f t="shared" si="478"/>
        <v>0</v>
      </c>
      <c r="AF1329" s="1">
        <f t="shared" si="479"/>
        <v>0</v>
      </c>
      <c r="AG1329" s="1">
        <f t="shared" si="480"/>
        <v>0</v>
      </c>
      <c r="AH1329" s="1">
        <f t="shared" si="481"/>
        <v>64</v>
      </c>
      <c r="AI1329" s="1">
        <f t="shared" si="482"/>
        <v>0</v>
      </c>
      <c r="AJ1329" s="3">
        <f t="shared" si="483"/>
        <v>1</v>
      </c>
      <c r="AK1329" s="3">
        <f t="shared" si="484"/>
        <v>0.25</v>
      </c>
      <c r="AL1329" s="3">
        <f t="shared" si="485"/>
        <v>4</v>
      </c>
      <c r="AM1329" s="3">
        <f t="shared" si="486"/>
        <v>10</v>
      </c>
      <c r="AN1329" s="3">
        <f t="shared" si="487"/>
        <v>0</v>
      </c>
      <c r="AO1329" s="3">
        <f t="shared" si="488"/>
        <v>10</v>
      </c>
      <c r="AP1329" s="1" t="str">
        <f>INDEX({"EAD";"EAD";"EAD";"EAD MOOC";"EAD";"EAD";"EAD FP";"EAD";"PRESENCIAL";"PRESENCIAL";"PRESENCIAL";"PRESENCIAL"}, MATCH(CONCATENATE(E1329, ".", F1329),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30" spans="1:42" x14ac:dyDescent="0.25">
      <c r="A1330" s="1" t="s">
        <v>27</v>
      </c>
      <c r="B1330" s="1" t="s">
        <v>66</v>
      </c>
      <c r="C1330" s="1" t="s">
        <v>29</v>
      </c>
      <c r="D1330" s="1" t="s">
        <v>67</v>
      </c>
      <c r="E1330" s="1" t="s">
        <v>120</v>
      </c>
      <c r="F1330" s="1" t="s">
        <v>447</v>
      </c>
      <c r="G1330" s="1" t="s">
        <v>161</v>
      </c>
      <c r="H1330" s="1" t="s">
        <v>1141</v>
      </c>
      <c r="I1330" s="1" t="s">
        <v>1142</v>
      </c>
      <c r="J1330" s="1" t="s">
        <v>125</v>
      </c>
      <c r="K1330" s="1" t="s">
        <v>109</v>
      </c>
      <c r="L1330" s="1">
        <v>3133466</v>
      </c>
      <c r="M1330" s="1" t="s">
        <v>1485</v>
      </c>
      <c r="N1330" s="5">
        <f>DATE(2024,7,15)</f>
        <v>45488</v>
      </c>
      <c r="O1330" s="5">
        <f>DATE(2024,8,16)</f>
        <v>45520</v>
      </c>
      <c r="P1330" s="5">
        <f t="shared" si="469"/>
        <v>45520</v>
      </c>
      <c r="Q1330" s="1">
        <v>40</v>
      </c>
      <c r="R1330" s="1">
        <v>160</v>
      </c>
      <c r="S1330" s="1">
        <f t="shared" si="470"/>
        <v>40</v>
      </c>
      <c r="T1330" s="1">
        <v>1</v>
      </c>
      <c r="U1330" s="1" t="str">
        <f t="shared" si="471"/>
        <v>SIM</v>
      </c>
      <c r="V1330" s="1">
        <f t="shared" si="472"/>
        <v>33</v>
      </c>
      <c r="W1330" s="4">
        <f t="shared" si="473"/>
        <v>1.2121212121212122</v>
      </c>
      <c r="X1330" s="4">
        <f t="shared" si="474"/>
        <v>40</v>
      </c>
      <c r="Y1330" s="4">
        <f t="shared" si="475"/>
        <v>0.05</v>
      </c>
      <c r="AB1330" s="5">
        <f t="shared" si="476"/>
        <v>45292</v>
      </c>
      <c r="AC1330" s="5">
        <f t="shared" si="477"/>
        <v>45657</v>
      </c>
      <c r="AD1330" s="1">
        <v>20</v>
      </c>
      <c r="AE1330" s="1">
        <f t="shared" si="478"/>
        <v>0</v>
      </c>
      <c r="AF1330" s="1">
        <f t="shared" si="479"/>
        <v>0</v>
      </c>
      <c r="AG1330" s="1">
        <f t="shared" si="480"/>
        <v>0</v>
      </c>
      <c r="AH1330" s="1">
        <f t="shared" si="481"/>
        <v>33</v>
      </c>
      <c r="AI1330" s="1">
        <f t="shared" si="482"/>
        <v>0</v>
      </c>
      <c r="AJ1330" s="3">
        <f t="shared" si="483"/>
        <v>1</v>
      </c>
      <c r="AK1330" s="3">
        <f t="shared" si="484"/>
        <v>0.05</v>
      </c>
      <c r="AL1330" s="3">
        <f t="shared" si="485"/>
        <v>1</v>
      </c>
      <c r="AM1330" s="3">
        <f t="shared" si="486"/>
        <v>1</v>
      </c>
      <c r="AN1330" s="3">
        <f t="shared" si="487"/>
        <v>0</v>
      </c>
      <c r="AO1330" s="3">
        <f t="shared" si="488"/>
        <v>1</v>
      </c>
      <c r="AP1330" s="1" t="str">
        <f>INDEX({"EAD";"EAD";"EAD";"EAD MOOC";"EAD";"EAD";"EAD FP";"EAD";"PRESENCIAL";"PRESENCIAL";"PRESENCIAL";"PRESENCIAL"}, MATCH(CONCATENATE(E1330, ".", F1330),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31" spans="1:42" x14ac:dyDescent="0.25">
      <c r="A1331" s="1" t="s">
        <v>27</v>
      </c>
      <c r="B1331" s="1" t="s">
        <v>66</v>
      </c>
      <c r="C1331" s="1" t="s">
        <v>29</v>
      </c>
      <c r="D1331" s="1" t="s">
        <v>67</v>
      </c>
      <c r="E1331" s="1" t="s">
        <v>120</v>
      </c>
      <c r="F1331" s="1" t="s">
        <v>447</v>
      </c>
      <c r="G1331" s="1" t="s">
        <v>161</v>
      </c>
      <c r="H1331" s="1" t="s">
        <v>162</v>
      </c>
      <c r="I1331" s="1" t="s">
        <v>124</v>
      </c>
      <c r="J1331" s="1" t="s">
        <v>125</v>
      </c>
      <c r="K1331" s="1" t="s">
        <v>109</v>
      </c>
      <c r="L1331" s="1">
        <v>3133468</v>
      </c>
      <c r="M1331" s="1" t="s">
        <v>1486</v>
      </c>
      <c r="N1331" s="5">
        <f>DATE(2024,7,15)</f>
        <v>45488</v>
      </c>
      <c r="O1331" s="5">
        <f>DATE(2024,8,16)</f>
        <v>45520</v>
      </c>
      <c r="P1331" s="5">
        <f t="shared" si="469"/>
        <v>45520</v>
      </c>
      <c r="Q1331" s="1">
        <v>20</v>
      </c>
      <c r="R1331" s="1">
        <v>1600</v>
      </c>
      <c r="S1331" s="1">
        <f t="shared" si="470"/>
        <v>20</v>
      </c>
      <c r="T1331" s="1">
        <v>1</v>
      </c>
      <c r="U1331" s="1" t="str">
        <f t="shared" si="471"/>
        <v>SIM</v>
      </c>
      <c r="V1331" s="1">
        <f t="shared" si="472"/>
        <v>33</v>
      </c>
      <c r="W1331" s="4">
        <f t="shared" si="473"/>
        <v>0.60606060606060608</v>
      </c>
      <c r="X1331" s="4">
        <f t="shared" si="474"/>
        <v>20</v>
      </c>
      <c r="Y1331" s="4">
        <f t="shared" si="475"/>
        <v>2.5000000000000001E-2</v>
      </c>
      <c r="AB1331" s="5">
        <f t="shared" si="476"/>
        <v>45292</v>
      </c>
      <c r="AC1331" s="5">
        <f t="shared" si="477"/>
        <v>45657</v>
      </c>
      <c r="AD1331" s="1">
        <v>20</v>
      </c>
      <c r="AE1331" s="1">
        <f t="shared" si="478"/>
        <v>0</v>
      </c>
      <c r="AF1331" s="1">
        <f t="shared" si="479"/>
        <v>0</v>
      </c>
      <c r="AG1331" s="1">
        <f t="shared" si="480"/>
        <v>0</v>
      </c>
      <c r="AH1331" s="1">
        <f t="shared" si="481"/>
        <v>33</v>
      </c>
      <c r="AI1331" s="1">
        <f t="shared" si="482"/>
        <v>0</v>
      </c>
      <c r="AJ1331" s="3">
        <f t="shared" si="483"/>
        <v>1</v>
      </c>
      <c r="AK1331" s="3">
        <f t="shared" si="484"/>
        <v>2.5000000000000001E-2</v>
      </c>
      <c r="AL1331" s="3">
        <f t="shared" si="485"/>
        <v>0.5</v>
      </c>
      <c r="AM1331" s="3">
        <f t="shared" si="486"/>
        <v>0.5</v>
      </c>
      <c r="AN1331" s="3">
        <f t="shared" si="487"/>
        <v>0</v>
      </c>
      <c r="AO1331" s="3">
        <f t="shared" si="488"/>
        <v>0.5</v>
      </c>
      <c r="AP1331" s="1" t="str">
        <f>INDEX({"EAD";"EAD";"EAD";"EAD MOOC";"EAD";"EAD";"EAD FP";"EAD";"PRESENCIAL";"PRESENCIAL";"PRESENCIAL";"PRESENCIAL"}, MATCH(CONCATENATE(E1331, ".", F1331),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32" spans="1:42" x14ac:dyDescent="0.25">
      <c r="A1332" s="1" t="s">
        <v>27</v>
      </c>
      <c r="B1332" s="1" t="s">
        <v>66</v>
      </c>
      <c r="C1332" s="1" t="s">
        <v>29</v>
      </c>
      <c r="D1332" s="1" t="s">
        <v>67</v>
      </c>
      <c r="E1332" s="1" t="s">
        <v>120</v>
      </c>
      <c r="F1332" s="1" t="s">
        <v>21</v>
      </c>
      <c r="G1332" s="1" t="s">
        <v>128</v>
      </c>
      <c r="H1332" s="1" t="s">
        <v>1169</v>
      </c>
      <c r="I1332" s="1" t="s">
        <v>124</v>
      </c>
      <c r="J1332" s="1" t="s">
        <v>125</v>
      </c>
      <c r="K1332" s="1" t="s">
        <v>130</v>
      </c>
      <c r="L1332" s="1">
        <v>3138952</v>
      </c>
      <c r="M1332" s="1" t="s">
        <v>1487</v>
      </c>
      <c r="N1332" s="5">
        <f>DATE(2024,9,23)</f>
        <v>45558</v>
      </c>
      <c r="O1332" s="5">
        <f>DATE(2027,9,23)</f>
        <v>46653</v>
      </c>
      <c r="P1332" s="5">
        <f t="shared" si="469"/>
        <v>47748</v>
      </c>
      <c r="Q1332" s="1">
        <v>3390</v>
      </c>
      <c r="R1332" s="1">
        <v>800</v>
      </c>
      <c r="S1332" s="1">
        <f t="shared" si="470"/>
        <v>3000</v>
      </c>
      <c r="T1332" s="1">
        <v>1.5</v>
      </c>
      <c r="U1332" s="1" t="str">
        <f t="shared" si="471"/>
        <v>SIM</v>
      </c>
      <c r="V1332" s="1">
        <f t="shared" si="472"/>
        <v>1096</v>
      </c>
      <c r="W1332" s="4">
        <f t="shared" si="473"/>
        <v>2.7372262773722627</v>
      </c>
      <c r="X1332" s="4">
        <f t="shared" si="474"/>
        <v>999.08759124087589</v>
      </c>
      <c r="Y1332" s="4">
        <f t="shared" si="475"/>
        <v>1.2488594890510949</v>
      </c>
      <c r="AB1332" s="5">
        <f t="shared" si="476"/>
        <v>45292</v>
      </c>
      <c r="AC1332" s="5">
        <f t="shared" si="477"/>
        <v>45657</v>
      </c>
      <c r="AD1332" s="1">
        <v>30</v>
      </c>
      <c r="AE1332" s="1">
        <f t="shared" si="478"/>
        <v>0</v>
      </c>
      <c r="AF1332" s="1">
        <f t="shared" si="479"/>
        <v>100</v>
      </c>
      <c r="AG1332" s="1">
        <f t="shared" si="480"/>
        <v>0</v>
      </c>
      <c r="AH1332" s="1">
        <f t="shared" si="481"/>
        <v>0</v>
      </c>
      <c r="AI1332" s="1">
        <f t="shared" si="482"/>
        <v>0</v>
      </c>
      <c r="AJ1332" s="3">
        <f t="shared" si="483"/>
        <v>0.27322404371584702</v>
      </c>
      <c r="AK1332" s="3">
        <f t="shared" si="484"/>
        <v>0.34121843963144671</v>
      </c>
      <c r="AL1332" s="3">
        <f t="shared" si="485"/>
        <v>10.236553188943402</v>
      </c>
      <c r="AM1332" s="3">
        <f t="shared" si="486"/>
        <v>15.354829783415102</v>
      </c>
      <c r="AN1332" s="3">
        <f t="shared" si="487"/>
        <v>0</v>
      </c>
      <c r="AO1332" s="3">
        <f t="shared" si="488"/>
        <v>15.354829783415102</v>
      </c>
      <c r="AP1332" s="1" t="str">
        <f>INDEX({"EAD";"EAD";"EAD";"EAD MOOC";"EAD";"EAD";"EAD FP";"EAD";"PRESENCIAL";"PRESENCIAL";"PRESENCIAL";"PRESENCIAL"}, MATCH(CONCATENATE(E1332, ".", F1332),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33" spans="1:42" x14ac:dyDescent="0.25">
      <c r="A1333" s="1" t="s">
        <v>27</v>
      </c>
      <c r="B1333" s="1" t="s">
        <v>66</v>
      </c>
      <c r="C1333" s="1" t="s">
        <v>29</v>
      </c>
      <c r="D1333" s="1" t="s">
        <v>67</v>
      </c>
      <c r="E1333" s="1" t="s">
        <v>120</v>
      </c>
      <c r="F1333" s="1" t="s">
        <v>21</v>
      </c>
      <c r="G1333" s="1" t="s">
        <v>128</v>
      </c>
      <c r="H1333" s="1" t="s">
        <v>559</v>
      </c>
      <c r="I1333" s="1" t="s">
        <v>289</v>
      </c>
      <c r="J1333" s="1" t="s">
        <v>125</v>
      </c>
      <c r="K1333" s="1" t="s">
        <v>130</v>
      </c>
      <c r="L1333" s="1">
        <v>3138954</v>
      </c>
      <c r="M1333" s="1" t="s">
        <v>1488</v>
      </c>
      <c r="N1333" s="5">
        <f>DATE(2024,9,23)</f>
        <v>45558</v>
      </c>
      <c r="O1333" s="5">
        <f>DATE(2027,9,23)</f>
        <v>46653</v>
      </c>
      <c r="P1333" s="5">
        <f t="shared" si="469"/>
        <v>47748</v>
      </c>
      <c r="Q1333" s="1">
        <v>3638</v>
      </c>
      <c r="R1333" s="1">
        <v>1200</v>
      </c>
      <c r="S1333" s="1">
        <f t="shared" si="470"/>
        <v>3200</v>
      </c>
      <c r="T1333" s="1">
        <v>2.5</v>
      </c>
      <c r="U1333" s="1" t="str">
        <f t="shared" si="471"/>
        <v>SIM</v>
      </c>
      <c r="V1333" s="1">
        <f t="shared" si="472"/>
        <v>1096</v>
      </c>
      <c r="W1333" s="4">
        <f t="shared" si="473"/>
        <v>2.9197080291970803</v>
      </c>
      <c r="X1333" s="4">
        <f t="shared" si="474"/>
        <v>1065.6934306569342</v>
      </c>
      <c r="Y1333" s="4">
        <f t="shared" si="475"/>
        <v>1.3321167883211678</v>
      </c>
      <c r="AB1333" s="5">
        <f t="shared" si="476"/>
        <v>45292</v>
      </c>
      <c r="AC1333" s="5">
        <f t="shared" si="477"/>
        <v>45657</v>
      </c>
      <c r="AD1333" s="1">
        <v>30</v>
      </c>
      <c r="AE1333" s="1">
        <f t="shared" si="478"/>
        <v>0</v>
      </c>
      <c r="AF1333" s="1">
        <f t="shared" si="479"/>
        <v>100</v>
      </c>
      <c r="AG1333" s="1">
        <f t="shared" si="480"/>
        <v>0</v>
      </c>
      <c r="AH1333" s="1">
        <f t="shared" si="481"/>
        <v>0</v>
      </c>
      <c r="AI1333" s="1">
        <f t="shared" si="482"/>
        <v>0</v>
      </c>
      <c r="AJ1333" s="3">
        <f t="shared" si="483"/>
        <v>0.27322404371584702</v>
      </c>
      <c r="AK1333" s="3">
        <f t="shared" si="484"/>
        <v>0.36396633560687647</v>
      </c>
      <c r="AL1333" s="3">
        <f t="shared" si="485"/>
        <v>10.918990068206295</v>
      </c>
      <c r="AM1333" s="3">
        <f t="shared" si="486"/>
        <v>27.297475170515739</v>
      </c>
      <c r="AN1333" s="3">
        <f t="shared" si="487"/>
        <v>0</v>
      </c>
      <c r="AO1333" s="3">
        <f t="shared" si="488"/>
        <v>27.297475170515739</v>
      </c>
      <c r="AP1333" s="1" t="str">
        <f>INDEX({"EAD";"EAD";"EAD";"EAD MOOC";"EAD";"EAD";"EAD FP";"EAD";"PRESENCIAL";"PRESENCIAL";"PRESENCIAL";"PRESENCIAL"}, MATCH(CONCATENATE(E1333, ".", F1333),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34" spans="1:42" x14ac:dyDescent="0.25">
      <c r="A1334" s="1" t="s">
        <v>27</v>
      </c>
      <c r="B1334" s="1" t="s">
        <v>66</v>
      </c>
      <c r="C1334" s="1" t="s">
        <v>29</v>
      </c>
      <c r="D1334" s="1" t="s">
        <v>67</v>
      </c>
      <c r="E1334" s="1" t="s">
        <v>120</v>
      </c>
      <c r="F1334" s="1" t="s">
        <v>21</v>
      </c>
      <c r="G1334" s="1" t="s">
        <v>128</v>
      </c>
      <c r="H1334" s="1" t="s">
        <v>1438</v>
      </c>
      <c r="I1334" s="1" t="s">
        <v>289</v>
      </c>
      <c r="J1334" s="1" t="s">
        <v>125</v>
      </c>
      <c r="K1334" s="1" t="s">
        <v>130</v>
      </c>
      <c r="L1334" s="1">
        <v>3138955</v>
      </c>
      <c r="M1334" s="1" t="s">
        <v>1489</v>
      </c>
      <c r="N1334" s="5">
        <f>DATE(2024,9,23)</f>
        <v>45558</v>
      </c>
      <c r="O1334" s="5">
        <f>DATE(2027,9,23)</f>
        <v>46653</v>
      </c>
      <c r="P1334" s="5">
        <f t="shared" si="469"/>
        <v>47748</v>
      </c>
      <c r="Q1334" s="1">
        <v>3821</v>
      </c>
      <c r="R1334" s="1">
        <v>1200</v>
      </c>
      <c r="S1334" s="1">
        <f t="shared" si="470"/>
        <v>3200</v>
      </c>
      <c r="T1334" s="1">
        <v>2</v>
      </c>
      <c r="U1334" s="1" t="str">
        <f t="shared" si="471"/>
        <v>SIM</v>
      </c>
      <c r="V1334" s="1">
        <f t="shared" si="472"/>
        <v>1096</v>
      </c>
      <c r="W1334" s="4">
        <f t="shared" si="473"/>
        <v>2.9197080291970803</v>
      </c>
      <c r="X1334" s="4">
        <f t="shared" si="474"/>
        <v>1065.6934306569342</v>
      </c>
      <c r="Y1334" s="4">
        <f t="shared" si="475"/>
        <v>1.3321167883211678</v>
      </c>
      <c r="AB1334" s="5">
        <f t="shared" si="476"/>
        <v>45292</v>
      </c>
      <c r="AC1334" s="5">
        <f t="shared" si="477"/>
        <v>45657</v>
      </c>
      <c r="AD1334" s="1">
        <v>30</v>
      </c>
      <c r="AE1334" s="1">
        <f t="shared" si="478"/>
        <v>0</v>
      </c>
      <c r="AF1334" s="1">
        <f t="shared" si="479"/>
        <v>100</v>
      </c>
      <c r="AG1334" s="1">
        <f t="shared" si="480"/>
        <v>0</v>
      </c>
      <c r="AH1334" s="1">
        <f t="shared" si="481"/>
        <v>0</v>
      </c>
      <c r="AI1334" s="1">
        <f t="shared" si="482"/>
        <v>0</v>
      </c>
      <c r="AJ1334" s="3">
        <f t="shared" si="483"/>
        <v>0.27322404371584702</v>
      </c>
      <c r="AK1334" s="3">
        <f t="shared" si="484"/>
        <v>0.36396633560687647</v>
      </c>
      <c r="AL1334" s="3">
        <f t="shared" si="485"/>
        <v>10.918990068206295</v>
      </c>
      <c r="AM1334" s="3">
        <f t="shared" si="486"/>
        <v>21.83798013641259</v>
      </c>
      <c r="AN1334" s="3">
        <f t="shared" si="487"/>
        <v>0</v>
      </c>
      <c r="AO1334" s="3">
        <f t="shared" si="488"/>
        <v>21.83798013641259</v>
      </c>
      <c r="AP1334" s="1" t="str">
        <f>INDEX({"EAD";"EAD";"EAD";"EAD MOOC";"EAD";"EAD";"EAD FP";"EAD";"PRESENCIAL";"PRESENCIAL";"PRESENCIAL";"PRESENCIAL"}, MATCH(CONCATENATE(E1334, ".", F1334),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35" spans="1:42" x14ac:dyDescent="0.25">
      <c r="A1335" s="1" t="s">
        <v>27</v>
      </c>
      <c r="B1335" s="1" t="s">
        <v>66</v>
      </c>
      <c r="C1335" s="1" t="s">
        <v>29</v>
      </c>
      <c r="D1335" s="1" t="s">
        <v>67</v>
      </c>
      <c r="E1335" s="1" t="s">
        <v>120</v>
      </c>
      <c r="F1335" s="1" t="s">
        <v>21</v>
      </c>
      <c r="G1335" s="1" t="s">
        <v>140</v>
      </c>
      <c r="H1335" s="1" t="s">
        <v>211</v>
      </c>
      <c r="I1335" s="1" t="s">
        <v>124</v>
      </c>
      <c r="J1335" s="1" t="s">
        <v>125</v>
      </c>
      <c r="K1335" s="1" t="s">
        <v>109</v>
      </c>
      <c r="L1335" s="1">
        <v>3138959</v>
      </c>
      <c r="M1335" s="1" t="s">
        <v>1490</v>
      </c>
      <c r="N1335" s="5">
        <f>DATE(2024,9,23)</f>
        <v>45558</v>
      </c>
      <c r="O1335" s="5">
        <f>DATE(2027,9,23)</f>
        <v>46653</v>
      </c>
      <c r="P1335" s="5">
        <f t="shared" si="469"/>
        <v>47748</v>
      </c>
      <c r="Q1335" s="1">
        <v>2058</v>
      </c>
      <c r="R1335" s="1">
        <v>1600</v>
      </c>
      <c r="S1335" s="1">
        <f t="shared" si="470"/>
        <v>1600</v>
      </c>
      <c r="T1335" s="1">
        <v>1</v>
      </c>
      <c r="U1335" s="1" t="str">
        <f t="shared" si="471"/>
        <v>SIM</v>
      </c>
      <c r="V1335" s="1">
        <f t="shared" si="472"/>
        <v>1096</v>
      </c>
      <c r="W1335" s="4">
        <f t="shared" si="473"/>
        <v>1.4598540145985401</v>
      </c>
      <c r="X1335" s="4">
        <f t="shared" si="474"/>
        <v>532.8467153284671</v>
      </c>
      <c r="Y1335" s="4">
        <f t="shared" si="475"/>
        <v>0.66605839416058388</v>
      </c>
      <c r="AB1335" s="5">
        <f t="shared" si="476"/>
        <v>45292</v>
      </c>
      <c r="AC1335" s="5">
        <f t="shared" si="477"/>
        <v>45657</v>
      </c>
      <c r="AD1335" s="1">
        <v>35</v>
      </c>
      <c r="AE1335" s="1">
        <f t="shared" si="478"/>
        <v>0</v>
      </c>
      <c r="AF1335" s="1">
        <f t="shared" si="479"/>
        <v>100</v>
      </c>
      <c r="AG1335" s="1">
        <f t="shared" si="480"/>
        <v>0</v>
      </c>
      <c r="AH1335" s="1">
        <f t="shared" si="481"/>
        <v>0</v>
      </c>
      <c r="AI1335" s="1">
        <f t="shared" si="482"/>
        <v>0</v>
      </c>
      <c r="AJ1335" s="3">
        <f t="shared" si="483"/>
        <v>0.27322404371584702</v>
      </c>
      <c r="AK1335" s="3">
        <f t="shared" si="484"/>
        <v>0.18198316780343823</v>
      </c>
      <c r="AL1335" s="3">
        <f t="shared" si="485"/>
        <v>6.369410873120338</v>
      </c>
      <c r="AM1335" s="3">
        <f t="shared" si="486"/>
        <v>6.369410873120338</v>
      </c>
      <c r="AN1335" s="3">
        <f t="shared" si="487"/>
        <v>0</v>
      </c>
      <c r="AO1335" s="3">
        <f t="shared" si="488"/>
        <v>6.369410873120338</v>
      </c>
      <c r="AP1335" s="1" t="str">
        <f>INDEX({"EAD";"EAD";"EAD";"EAD MOOC";"EAD";"EAD";"EAD FP";"EAD";"PRESENCIAL";"PRESENCIAL";"PRESENCIAL";"PRESENCIAL"}, MATCH(CONCATENATE(E1335, ".", F1335),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36" spans="1:42" x14ac:dyDescent="0.25">
      <c r="A1336" s="1" t="s">
        <v>27</v>
      </c>
      <c r="B1336" s="1" t="s">
        <v>66</v>
      </c>
      <c r="C1336" s="1" t="s">
        <v>29</v>
      </c>
      <c r="D1336" s="1" t="s">
        <v>67</v>
      </c>
      <c r="E1336" s="1" t="s">
        <v>120</v>
      </c>
      <c r="F1336" s="1" t="s">
        <v>447</v>
      </c>
      <c r="G1336" s="1" t="s">
        <v>161</v>
      </c>
      <c r="H1336" s="1" t="s">
        <v>1478</v>
      </c>
      <c r="I1336" s="1" t="s">
        <v>224</v>
      </c>
      <c r="J1336" s="1" t="s">
        <v>125</v>
      </c>
      <c r="K1336" s="1" t="s">
        <v>109</v>
      </c>
      <c r="L1336" s="1">
        <v>3167089</v>
      </c>
      <c r="M1336" s="1" t="s">
        <v>1491</v>
      </c>
      <c r="N1336" s="5">
        <f>DATE(2024,10,1)</f>
        <v>45566</v>
      </c>
      <c r="O1336" s="5">
        <f>DATE(2024,11,19)</f>
        <v>45615</v>
      </c>
      <c r="P1336" s="5">
        <f t="shared" si="469"/>
        <v>45615</v>
      </c>
      <c r="Q1336" s="1">
        <v>40</v>
      </c>
      <c r="R1336" s="1">
        <v>160</v>
      </c>
      <c r="S1336" s="1">
        <f t="shared" si="470"/>
        <v>40</v>
      </c>
      <c r="T1336" s="1">
        <v>1</v>
      </c>
      <c r="U1336" s="1" t="str">
        <f t="shared" si="471"/>
        <v>SIM</v>
      </c>
      <c r="V1336" s="1">
        <f t="shared" si="472"/>
        <v>50</v>
      </c>
      <c r="W1336" s="4">
        <f t="shared" si="473"/>
        <v>0.8</v>
      </c>
      <c r="X1336" s="4">
        <f t="shared" si="474"/>
        <v>40</v>
      </c>
      <c r="Y1336" s="4">
        <f t="shared" si="475"/>
        <v>0.05</v>
      </c>
      <c r="AB1336" s="5">
        <f t="shared" si="476"/>
        <v>45292</v>
      </c>
      <c r="AC1336" s="5">
        <f t="shared" si="477"/>
        <v>45657</v>
      </c>
      <c r="AD1336" s="1">
        <v>20</v>
      </c>
      <c r="AE1336" s="1">
        <f t="shared" si="478"/>
        <v>0</v>
      </c>
      <c r="AF1336" s="1">
        <f t="shared" si="479"/>
        <v>0</v>
      </c>
      <c r="AG1336" s="1">
        <f t="shared" si="480"/>
        <v>0</v>
      </c>
      <c r="AH1336" s="1">
        <f t="shared" si="481"/>
        <v>50</v>
      </c>
      <c r="AI1336" s="1">
        <f t="shared" si="482"/>
        <v>0</v>
      </c>
      <c r="AJ1336" s="3">
        <f t="shared" si="483"/>
        <v>1</v>
      </c>
      <c r="AK1336" s="3">
        <f t="shared" si="484"/>
        <v>0.05</v>
      </c>
      <c r="AL1336" s="3">
        <f t="shared" si="485"/>
        <v>1</v>
      </c>
      <c r="AM1336" s="3">
        <f t="shared" si="486"/>
        <v>1</v>
      </c>
      <c r="AN1336" s="3">
        <f t="shared" si="487"/>
        <v>0</v>
      </c>
      <c r="AO1336" s="3">
        <f t="shared" si="488"/>
        <v>1</v>
      </c>
      <c r="AP1336" s="1" t="str">
        <f>INDEX({"EAD";"EAD";"EAD";"EAD MOOC";"EAD";"EAD";"EAD FP";"EAD";"PRESENCIAL";"PRESENCIAL";"PRESENCIAL";"PRESENCIAL"}, MATCH(CONCATENATE(E1336, ".", F1336),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37" spans="1:42" x14ac:dyDescent="0.25">
      <c r="A1337" s="1" t="s">
        <v>27</v>
      </c>
      <c r="B1337" s="1" t="s">
        <v>66</v>
      </c>
      <c r="C1337" s="1" t="s">
        <v>29</v>
      </c>
      <c r="D1337" s="1" t="s">
        <v>67</v>
      </c>
      <c r="E1337" s="1" t="s">
        <v>120</v>
      </c>
      <c r="F1337" s="1" t="s">
        <v>1345</v>
      </c>
      <c r="G1337" s="1" t="s">
        <v>161</v>
      </c>
      <c r="H1337" s="1" t="s">
        <v>1482</v>
      </c>
      <c r="I1337" s="1" t="s">
        <v>289</v>
      </c>
      <c r="J1337" s="1" t="s">
        <v>125</v>
      </c>
      <c r="K1337" s="1" t="s">
        <v>1347</v>
      </c>
      <c r="L1337" s="1">
        <v>3171313</v>
      </c>
      <c r="M1337" s="1" t="s">
        <v>1492</v>
      </c>
      <c r="N1337" s="5">
        <f>DATE(2024,10,7)</f>
        <v>45572</v>
      </c>
      <c r="O1337" s="5">
        <f>DATE(2024,12,27)</f>
        <v>45653</v>
      </c>
      <c r="P1337" s="5">
        <f t="shared" si="469"/>
        <v>45653</v>
      </c>
      <c r="Q1337" s="1">
        <v>200</v>
      </c>
      <c r="R1337" s="1">
        <v>180</v>
      </c>
      <c r="S1337" s="1">
        <f t="shared" si="470"/>
        <v>200</v>
      </c>
      <c r="T1337" s="1">
        <v>2.5</v>
      </c>
      <c r="U1337" s="1" t="str">
        <f t="shared" si="471"/>
        <v>SIM</v>
      </c>
      <c r="V1337" s="1">
        <f t="shared" si="472"/>
        <v>82</v>
      </c>
      <c r="W1337" s="4">
        <f t="shared" si="473"/>
        <v>2.4390243902439024</v>
      </c>
      <c r="X1337" s="4">
        <f t="shared" si="474"/>
        <v>200</v>
      </c>
      <c r="Y1337" s="4">
        <f t="shared" si="475"/>
        <v>0.25</v>
      </c>
      <c r="AB1337" s="5">
        <f t="shared" si="476"/>
        <v>45292</v>
      </c>
      <c r="AC1337" s="5">
        <f t="shared" si="477"/>
        <v>45657</v>
      </c>
      <c r="AD1337" s="1">
        <v>21</v>
      </c>
      <c r="AE1337" s="1">
        <f t="shared" si="478"/>
        <v>0</v>
      </c>
      <c r="AF1337" s="1">
        <f t="shared" si="479"/>
        <v>0</v>
      </c>
      <c r="AG1337" s="1">
        <f t="shared" si="480"/>
        <v>0</v>
      </c>
      <c r="AH1337" s="1">
        <f t="shared" si="481"/>
        <v>82</v>
      </c>
      <c r="AI1337" s="1">
        <f t="shared" si="482"/>
        <v>0</v>
      </c>
      <c r="AJ1337" s="3">
        <f t="shared" si="483"/>
        <v>1</v>
      </c>
      <c r="AK1337" s="3">
        <f t="shared" si="484"/>
        <v>0.25</v>
      </c>
      <c r="AL1337" s="3">
        <f t="shared" si="485"/>
        <v>5.25</v>
      </c>
      <c r="AM1337" s="3">
        <f t="shared" si="486"/>
        <v>13.125</v>
      </c>
      <c r="AN1337" s="3">
        <f t="shared" si="487"/>
        <v>0</v>
      </c>
      <c r="AO1337" s="3">
        <f t="shared" si="488"/>
        <v>13.125</v>
      </c>
      <c r="AP1337" s="1" t="str">
        <f>INDEX({"EAD";"EAD";"EAD";"EAD MOOC";"EAD";"EAD";"EAD FP";"EAD";"PRESENCIAL";"PRESENCIAL";"PRESENCIAL";"PRESENCIAL"}, MATCH(CONCATENATE(E1337, ".", F1337),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38" spans="1:42" x14ac:dyDescent="0.25">
      <c r="A1338" s="1" t="s">
        <v>27</v>
      </c>
      <c r="B1338" s="1" t="s">
        <v>66</v>
      </c>
      <c r="C1338" s="1" t="s">
        <v>29</v>
      </c>
      <c r="D1338" s="1" t="s">
        <v>67</v>
      </c>
      <c r="E1338" s="1" t="s">
        <v>120</v>
      </c>
      <c r="F1338" s="1" t="s">
        <v>447</v>
      </c>
      <c r="G1338" s="1" t="s">
        <v>161</v>
      </c>
      <c r="H1338" s="1" t="s">
        <v>162</v>
      </c>
      <c r="I1338" s="1" t="s">
        <v>124</v>
      </c>
      <c r="J1338" s="1" t="s">
        <v>125</v>
      </c>
      <c r="K1338" s="1" t="s">
        <v>109</v>
      </c>
      <c r="L1338" s="1">
        <v>3167087</v>
      </c>
      <c r="M1338" s="1" t="s">
        <v>1493</v>
      </c>
      <c r="N1338" s="5">
        <f>DATE(2024,10,25)</f>
        <v>45590</v>
      </c>
      <c r="O1338" s="5">
        <f>DATE(2024,11,22)</f>
        <v>45618</v>
      </c>
      <c r="P1338" s="5">
        <f t="shared" si="469"/>
        <v>45618</v>
      </c>
      <c r="Q1338" s="1">
        <v>20</v>
      </c>
      <c r="R1338" s="1">
        <v>1600</v>
      </c>
      <c r="S1338" s="1">
        <f t="shared" si="470"/>
        <v>20</v>
      </c>
      <c r="T1338" s="1">
        <v>1</v>
      </c>
      <c r="U1338" s="1" t="str">
        <f t="shared" si="471"/>
        <v>SIM</v>
      </c>
      <c r="V1338" s="1">
        <f t="shared" si="472"/>
        <v>29</v>
      </c>
      <c r="W1338" s="4">
        <f t="shared" si="473"/>
        <v>0.68965517241379315</v>
      </c>
      <c r="X1338" s="4">
        <f t="shared" si="474"/>
        <v>20</v>
      </c>
      <c r="Y1338" s="4">
        <f t="shared" si="475"/>
        <v>2.5000000000000001E-2</v>
      </c>
      <c r="AB1338" s="5">
        <f t="shared" si="476"/>
        <v>45292</v>
      </c>
      <c r="AC1338" s="5">
        <f t="shared" si="477"/>
        <v>45657</v>
      </c>
      <c r="AD1338" s="1">
        <v>20</v>
      </c>
      <c r="AE1338" s="1">
        <f t="shared" si="478"/>
        <v>0</v>
      </c>
      <c r="AF1338" s="1">
        <f t="shared" si="479"/>
        <v>0</v>
      </c>
      <c r="AG1338" s="1">
        <f t="shared" si="480"/>
        <v>0</v>
      </c>
      <c r="AH1338" s="1">
        <f t="shared" si="481"/>
        <v>29</v>
      </c>
      <c r="AI1338" s="1">
        <f t="shared" si="482"/>
        <v>0</v>
      </c>
      <c r="AJ1338" s="3">
        <f t="shared" si="483"/>
        <v>1</v>
      </c>
      <c r="AK1338" s="3">
        <f t="shared" si="484"/>
        <v>2.5000000000000001E-2</v>
      </c>
      <c r="AL1338" s="3">
        <f t="shared" si="485"/>
        <v>0.5</v>
      </c>
      <c r="AM1338" s="3">
        <f t="shared" si="486"/>
        <v>0.5</v>
      </c>
      <c r="AN1338" s="3">
        <f t="shared" si="487"/>
        <v>0</v>
      </c>
      <c r="AO1338" s="3">
        <f t="shared" si="488"/>
        <v>0.5</v>
      </c>
      <c r="AP1338" s="1" t="str">
        <f>INDEX({"EAD";"EAD";"EAD";"EAD MOOC";"EAD";"EAD";"EAD FP";"EAD";"PRESENCIAL";"PRESENCIAL";"PRESENCIAL";"PRESENCIAL"}, MATCH(CONCATENATE(E1338, ".", F1338),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39" spans="1:42" x14ac:dyDescent="0.25">
      <c r="A1339" s="1" t="s">
        <v>27</v>
      </c>
      <c r="B1339" s="1" t="s">
        <v>66</v>
      </c>
      <c r="C1339" s="1" t="s">
        <v>29</v>
      </c>
      <c r="D1339" s="1" t="s">
        <v>67</v>
      </c>
      <c r="E1339" s="1" t="s">
        <v>170</v>
      </c>
      <c r="F1339" s="1" t="s">
        <v>510</v>
      </c>
      <c r="G1339" s="1" t="s">
        <v>178</v>
      </c>
      <c r="H1339" s="1" t="s">
        <v>211</v>
      </c>
      <c r="I1339" s="1" t="s">
        <v>124</v>
      </c>
      <c r="J1339" s="1" t="s">
        <v>125</v>
      </c>
      <c r="K1339" s="1" t="s">
        <v>109</v>
      </c>
      <c r="L1339" s="1">
        <v>3180828</v>
      </c>
      <c r="M1339" s="1" t="s">
        <v>1494</v>
      </c>
      <c r="N1339" s="5">
        <f>DATE(2024,10,28)</f>
        <v>45593</v>
      </c>
      <c r="O1339" s="5">
        <f>DATE(2026,3,30)</f>
        <v>46111</v>
      </c>
      <c r="P1339" s="5">
        <f t="shared" si="469"/>
        <v>47206</v>
      </c>
      <c r="Q1339" s="1">
        <v>360</v>
      </c>
      <c r="R1339" s="1">
        <v>360</v>
      </c>
      <c r="S1339" s="1">
        <f t="shared" si="470"/>
        <v>360</v>
      </c>
      <c r="T1339" s="1">
        <v>1</v>
      </c>
      <c r="U1339" s="1" t="str">
        <f t="shared" si="471"/>
        <v>SIM</v>
      </c>
      <c r="V1339" s="1">
        <f t="shared" si="472"/>
        <v>519</v>
      </c>
      <c r="W1339" s="4">
        <f t="shared" si="473"/>
        <v>0.69364161849710981</v>
      </c>
      <c r="X1339" s="4">
        <f t="shared" si="474"/>
        <v>253.17919075144508</v>
      </c>
      <c r="Y1339" s="4">
        <f t="shared" si="475"/>
        <v>0.31647398843930635</v>
      </c>
      <c r="AB1339" s="5">
        <f t="shared" si="476"/>
        <v>45292</v>
      </c>
      <c r="AC1339" s="5">
        <f t="shared" si="477"/>
        <v>45657</v>
      </c>
      <c r="AD1339" s="1">
        <v>300</v>
      </c>
      <c r="AE1339" s="1">
        <f t="shared" si="478"/>
        <v>0</v>
      </c>
      <c r="AF1339" s="1">
        <f t="shared" si="479"/>
        <v>65</v>
      </c>
      <c r="AG1339" s="1">
        <f t="shared" si="480"/>
        <v>0</v>
      </c>
      <c r="AH1339" s="1">
        <f t="shared" si="481"/>
        <v>0</v>
      </c>
      <c r="AI1339" s="1">
        <f t="shared" si="482"/>
        <v>0</v>
      </c>
      <c r="AJ1339" s="3">
        <f t="shared" si="483"/>
        <v>0.17759562841530055</v>
      </c>
      <c r="AK1339" s="3">
        <f t="shared" si="484"/>
        <v>5.6204396853975172E-2</v>
      </c>
      <c r="AL1339" s="3">
        <f t="shared" si="485"/>
        <v>16.861319056192553</v>
      </c>
      <c r="AM1339" s="3">
        <f t="shared" si="486"/>
        <v>16.861319056192553</v>
      </c>
      <c r="AN1339" s="3">
        <f t="shared" si="487"/>
        <v>0</v>
      </c>
      <c r="AO1339" s="3">
        <f t="shared" si="488"/>
        <v>16.861319056192553</v>
      </c>
      <c r="AP1339" s="1" t="str">
        <f>INDEX({"EAD";"EAD";"EAD";"EAD MOOC";"EAD";"EAD";"EAD FP";"EAD";"PRESENCIAL";"PRESENCIAL";"PRESENCIAL";"PRESENCIAL"}, MATCH(CONCATENATE(E1339, ".", F1339),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EAD</v>
      </c>
    </row>
    <row r="1340" spans="1:42" x14ac:dyDescent="0.25">
      <c r="A1340" s="1" t="s">
        <v>27</v>
      </c>
      <c r="B1340" s="1" t="s">
        <v>66</v>
      </c>
      <c r="C1340" s="1" t="s">
        <v>29</v>
      </c>
      <c r="D1340" s="1" t="s">
        <v>67</v>
      </c>
      <c r="E1340" s="1" t="s">
        <v>120</v>
      </c>
      <c r="F1340" s="1" t="s">
        <v>447</v>
      </c>
      <c r="G1340" s="1" t="s">
        <v>161</v>
      </c>
      <c r="H1340" s="1" t="s">
        <v>162</v>
      </c>
      <c r="I1340" s="1" t="s">
        <v>124</v>
      </c>
      <c r="J1340" s="1" t="s">
        <v>125</v>
      </c>
      <c r="K1340" s="1" t="s">
        <v>109</v>
      </c>
      <c r="L1340" s="1">
        <v>3192097</v>
      </c>
      <c r="M1340" s="1" t="s">
        <v>1495</v>
      </c>
      <c r="N1340" s="5">
        <f>DATE(2024,11,11)</f>
        <v>45607</v>
      </c>
      <c r="O1340" s="5">
        <f>DATE(2024,12,4)</f>
        <v>45630</v>
      </c>
      <c r="P1340" s="5">
        <f t="shared" si="469"/>
        <v>45630</v>
      </c>
      <c r="Q1340" s="1">
        <v>20</v>
      </c>
      <c r="R1340" s="1">
        <v>1600</v>
      </c>
      <c r="S1340" s="1">
        <f t="shared" si="470"/>
        <v>20</v>
      </c>
      <c r="T1340" s="1">
        <v>1</v>
      </c>
      <c r="U1340" s="1" t="str">
        <f t="shared" si="471"/>
        <v>SIM</v>
      </c>
      <c r="V1340" s="1">
        <f t="shared" si="472"/>
        <v>24</v>
      </c>
      <c r="W1340" s="4">
        <f t="shared" si="473"/>
        <v>0.83333333333333337</v>
      </c>
      <c r="X1340" s="4">
        <f t="shared" si="474"/>
        <v>20</v>
      </c>
      <c r="Y1340" s="4">
        <f t="shared" si="475"/>
        <v>2.5000000000000001E-2</v>
      </c>
      <c r="AB1340" s="5">
        <f t="shared" si="476"/>
        <v>45292</v>
      </c>
      <c r="AC1340" s="5">
        <f t="shared" si="477"/>
        <v>45657</v>
      </c>
      <c r="AD1340" s="1">
        <v>30</v>
      </c>
      <c r="AE1340" s="1">
        <f t="shared" si="478"/>
        <v>0</v>
      </c>
      <c r="AF1340" s="1">
        <f t="shared" si="479"/>
        <v>0</v>
      </c>
      <c r="AG1340" s="1">
        <f t="shared" si="480"/>
        <v>0</v>
      </c>
      <c r="AH1340" s="1">
        <f t="shared" si="481"/>
        <v>24</v>
      </c>
      <c r="AI1340" s="1">
        <f t="shared" si="482"/>
        <v>0</v>
      </c>
      <c r="AJ1340" s="3">
        <f t="shared" si="483"/>
        <v>1</v>
      </c>
      <c r="AK1340" s="3">
        <f t="shared" si="484"/>
        <v>2.5000000000000001E-2</v>
      </c>
      <c r="AL1340" s="3">
        <f t="shared" si="485"/>
        <v>0.75</v>
      </c>
      <c r="AM1340" s="3">
        <f t="shared" si="486"/>
        <v>0.75</v>
      </c>
      <c r="AN1340" s="3">
        <f t="shared" si="487"/>
        <v>0</v>
      </c>
      <c r="AO1340" s="3">
        <f t="shared" si="488"/>
        <v>0.75</v>
      </c>
      <c r="AP1340" s="1" t="str">
        <f>INDEX({"EAD";"EAD";"EAD";"EAD MOOC";"EAD";"EAD";"EAD FP";"EAD";"PRESENCIAL";"PRESENCIAL";"PRESENCIAL";"PRESENCIAL"}, MATCH(CONCATENATE(E1340, ".", F1340),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  <row r="1341" spans="1:42" x14ac:dyDescent="0.25">
      <c r="A1341" s="1" t="s">
        <v>27</v>
      </c>
      <c r="B1341" s="1" t="s">
        <v>66</v>
      </c>
      <c r="C1341" s="1" t="s">
        <v>29</v>
      </c>
      <c r="D1341" s="1" t="s">
        <v>67</v>
      </c>
      <c r="E1341" s="1" t="s">
        <v>120</v>
      </c>
      <c r="F1341" s="1" t="s">
        <v>447</v>
      </c>
      <c r="G1341" s="1" t="s">
        <v>161</v>
      </c>
      <c r="H1341" s="1" t="s">
        <v>1478</v>
      </c>
      <c r="I1341" s="1" t="s">
        <v>224</v>
      </c>
      <c r="J1341" s="1" t="s">
        <v>125</v>
      </c>
      <c r="K1341" s="1" t="s">
        <v>109</v>
      </c>
      <c r="L1341" s="1">
        <v>3192105</v>
      </c>
      <c r="M1341" s="1" t="s">
        <v>1496</v>
      </c>
      <c r="N1341" s="5">
        <f>DATE(2024,11,11)</f>
        <v>45607</v>
      </c>
      <c r="O1341" s="5">
        <f>DATE(2024,12,4)</f>
        <v>45630</v>
      </c>
      <c r="P1341" s="5">
        <f t="shared" si="469"/>
        <v>45630</v>
      </c>
      <c r="Q1341" s="1">
        <v>40</v>
      </c>
      <c r="R1341" s="1">
        <v>160</v>
      </c>
      <c r="S1341" s="1">
        <f t="shared" si="470"/>
        <v>40</v>
      </c>
      <c r="T1341" s="1">
        <v>1</v>
      </c>
      <c r="U1341" s="1" t="str">
        <f t="shared" si="471"/>
        <v>SIM</v>
      </c>
      <c r="V1341" s="1">
        <f t="shared" si="472"/>
        <v>24</v>
      </c>
      <c r="W1341" s="4">
        <f t="shared" si="473"/>
        <v>1.6666666666666667</v>
      </c>
      <c r="X1341" s="4">
        <f t="shared" si="474"/>
        <v>40</v>
      </c>
      <c r="Y1341" s="4">
        <f t="shared" si="475"/>
        <v>0.05</v>
      </c>
      <c r="AB1341" s="5">
        <f t="shared" si="476"/>
        <v>45292</v>
      </c>
      <c r="AC1341" s="5">
        <f t="shared" si="477"/>
        <v>45657</v>
      </c>
      <c r="AD1341" s="1">
        <v>30</v>
      </c>
      <c r="AE1341" s="1">
        <f t="shared" si="478"/>
        <v>0</v>
      </c>
      <c r="AF1341" s="1">
        <f t="shared" si="479"/>
        <v>0</v>
      </c>
      <c r="AG1341" s="1">
        <f t="shared" si="480"/>
        <v>0</v>
      </c>
      <c r="AH1341" s="1">
        <f t="shared" si="481"/>
        <v>24</v>
      </c>
      <c r="AI1341" s="1">
        <f t="shared" si="482"/>
        <v>0</v>
      </c>
      <c r="AJ1341" s="3">
        <f t="shared" si="483"/>
        <v>1</v>
      </c>
      <c r="AK1341" s="3">
        <f t="shared" si="484"/>
        <v>0.05</v>
      </c>
      <c r="AL1341" s="3">
        <f t="shared" si="485"/>
        <v>1.5</v>
      </c>
      <c r="AM1341" s="3">
        <f t="shared" si="486"/>
        <v>1.5</v>
      </c>
      <c r="AN1341" s="3">
        <f t="shared" si="487"/>
        <v>0</v>
      </c>
      <c r="AO1341" s="3">
        <f t="shared" si="488"/>
        <v>1.5</v>
      </c>
      <c r="AP1341" s="1" t="str">
        <f>INDEX({"EAD";"EAD";"EAD";"EAD MOOC";"EAD";"EAD";"EAD FP";"EAD";"PRESENCIAL";"PRESENCIAL";"PRESENCIAL";"PRESENCIAL"}, MATCH(CONCATENATE(E1341, ".", F1341), {"ENSINO A DISTANCIA.APRENDA MAIS";"ENSINO A DISTANCIA.E-TEC";"ENSINO A DISTANCIA.MEDIOTEC";"ENSINO A DISTANCIA.OUTROS MOOC";"ENSINO A DISTANCIA.OUTROS RECURSOS EXTERNOS";"ENSINO A DISTANCIA.PROGRAMA EJA INTEGRADA - EPT  (SEB/MEC)";"ENSINO A DISTANCIA.SEM PROGRAMA ASSOCIADO";"ENSINO A DISTANCIA.UAB";"ENSINO PRESENCIAL.MEDIOTEC";"ENSINO PRESENCIAL.OUTROS RECURSOS EXTERNOS";"ENSINO PRESENCIAL.PROGRAMA EJA INTEGRADA - EPT  (SEB/MEC)";"ENSINO PRESENCIAL.SEM PROGRAMA ASSOCIADO"}, 0))</f>
        <v>PRESENCIAL</v>
      </c>
    </row>
  </sheetData>
  <autoFilter ref="A3:P1341" xr:uid="{00000000-0009-0000-0000-000001000000}"/>
  <mergeCells count="1">
    <mergeCell ref="A2:A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Instituíção</vt:lpstr>
      <vt:lpstr>Ciclos de Matrículas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Augusto</dc:creator>
  <cp:keywords/>
  <dc:description/>
  <cp:lastModifiedBy>Vandervanio Osni Pacheco dos Santos</cp:lastModifiedBy>
  <dcterms:created xsi:type="dcterms:W3CDTF">2016-04-11T15:22:23Z</dcterms:created>
  <dcterms:modified xsi:type="dcterms:W3CDTF">2025-09-12T19:46:32Z</dcterms:modified>
  <cp:category/>
</cp:coreProperties>
</file>